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rodriguezs\Documents\SESS\ADA_SESS\Corporativo de licencias\Publicación\"/>
    </mc:Choice>
  </mc:AlternateContent>
  <xr:revisionPtr revIDLastSave="0" documentId="13_ncr:1_{073C5E4C-48E6-4929-9E3C-340E9DFE5783}" xr6:coauthVersionLast="47" xr6:coauthVersionMax="47" xr10:uidLastSave="{00000000-0000-0000-0000-000000000000}"/>
  <bookViews>
    <workbookView xWindow="-120" yWindow="-120" windowWidth="24240" windowHeight="13020" tabRatio="909" activeTab="10" xr2:uid="{00000000-000D-0000-FFFF-FFFF00000000}"/>
  </bookViews>
  <sheets>
    <sheet name="L2-RH00004" sheetId="1" r:id="rId1"/>
    <sheet name="L2-RH00002" sheetId="2" r:id="rId2"/>
    <sheet name="L2-RH00001" sheetId="3" r:id="rId3"/>
    <sheet name="L2-RH00007" sheetId="5" r:id="rId4"/>
    <sheet name="L2-RH00152" sheetId="14" r:id="rId5"/>
    <sheet name="L2-RH00153" sheetId="7" r:id="rId6"/>
    <sheet name="L2-RH00767" sheetId="8" r:id="rId7"/>
    <sheet name="L2-RH00005" sheetId="9" r:id="rId8"/>
    <sheet name="L2-RH00003" sheetId="16" r:id="rId9"/>
    <sheet name="L2-RH00025" sheetId="12" r:id="rId10"/>
    <sheet name="L2-RH00006" sheetId="17" r:id="rId11"/>
    <sheet name="Global" sheetId="11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6" l="1"/>
  <c r="I12" i="5" l="1"/>
  <c r="H7" i="14"/>
  <c r="I8" i="14" s="1"/>
  <c r="G8" i="5"/>
  <c r="G7" i="5"/>
  <c r="E7" i="5" s="1"/>
  <c r="F7" i="5" l="1"/>
  <c r="I11" i="17" l="1"/>
  <c r="L20" i="17"/>
  <c r="M19" i="17"/>
  <c r="L19" i="17"/>
  <c r="H10" i="17"/>
  <c r="E10" i="17"/>
  <c r="F10" i="17" s="1"/>
  <c r="M20" i="16"/>
  <c r="H7" i="16"/>
  <c r="H7" i="9"/>
  <c r="I8" i="9" s="1"/>
  <c r="H7" i="7"/>
  <c r="H7" i="5"/>
  <c r="I9" i="9" l="1"/>
  <c r="L19" i="9" s="1"/>
  <c r="H8" i="16" l="1"/>
  <c r="I9" i="16" s="1"/>
  <c r="H8" i="5"/>
  <c r="I9" i="5" s="1"/>
  <c r="C12" i="2"/>
  <c r="C11" i="1"/>
  <c r="H8" i="2"/>
  <c r="H7" i="17"/>
  <c r="I8" i="17" s="1"/>
  <c r="H9" i="17"/>
  <c r="E9" i="17"/>
  <c r="F9" i="17" s="1"/>
  <c r="C4" i="17"/>
  <c r="G7" i="17" s="1"/>
  <c r="B2" i="17"/>
  <c r="B3" i="17" s="1"/>
  <c r="H10" i="7"/>
  <c r="H8" i="7"/>
  <c r="I9" i="7" s="1"/>
  <c r="H9" i="3"/>
  <c r="B2" i="5"/>
  <c r="B2" i="3"/>
  <c r="B2" i="1"/>
  <c r="L17" i="17" l="1"/>
  <c r="I9" i="17"/>
  <c r="I10" i="16"/>
  <c r="I11" i="7"/>
  <c r="L18" i="16"/>
  <c r="E7" i="17"/>
  <c r="F7" i="17" s="1"/>
  <c r="I10" i="17" s="1"/>
  <c r="M17" i="17" l="1"/>
  <c r="H7" i="2"/>
  <c r="I9" i="2" s="1"/>
  <c r="L18" i="17" l="1"/>
  <c r="M18" i="17" s="1"/>
  <c r="I10" i="2"/>
  <c r="L21" i="2" s="1"/>
  <c r="H7" i="1"/>
  <c r="M20" i="17" l="1"/>
  <c r="L20" i="2"/>
  <c r="C4" i="16"/>
  <c r="G7" i="16" s="1"/>
  <c r="E7" i="16" l="1"/>
  <c r="F7" i="16" s="1"/>
  <c r="G8" i="16"/>
  <c r="B2" i="16"/>
  <c r="B3" i="16" s="1"/>
  <c r="B2" i="9"/>
  <c r="L18" i="9" l="1"/>
  <c r="E8" i="16"/>
  <c r="F8" i="16" s="1"/>
  <c r="I11" i="16" s="1"/>
  <c r="I12" i="16" s="1"/>
  <c r="L19" i="16"/>
  <c r="L21" i="16" s="1"/>
  <c r="M18" i="16" l="1"/>
  <c r="M19" i="16" l="1"/>
  <c r="H7" i="12"/>
  <c r="B2" i="14"/>
  <c r="C4" i="14"/>
  <c r="G7" i="14" s="1"/>
  <c r="E10" i="12"/>
  <c r="F10" i="12" s="1"/>
  <c r="E9" i="12"/>
  <c r="F9" i="12" s="1"/>
  <c r="E7" i="14" l="1"/>
  <c r="F7" i="14"/>
  <c r="I10" i="14" s="1"/>
  <c r="M21" i="16"/>
  <c r="H8" i="14"/>
  <c r="L19" i="14" l="1"/>
  <c r="I9" i="14"/>
  <c r="L18" i="14" s="1"/>
  <c r="B3" i="14"/>
  <c r="L17" i="14" l="1"/>
  <c r="M17" i="14" l="1"/>
  <c r="L20" i="14"/>
  <c r="M19" i="14"/>
  <c r="M18" i="14" l="1"/>
  <c r="M20" i="14"/>
  <c r="I11" i="14"/>
  <c r="C4" i="1"/>
  <c r="C4" i="9"/>
  <c r="G7" i="9" s="1"/>
  <c r="C4" i="8"/>
  <c r="G7" i="8" s="1"/>
  <c r="C4" i="7"/>
  <c r="G7" i="7" s="1"/>
  <c r="C4" i="5"/>
  <c r="C4" i="12"/>
  <c r="G7" i="12" s="1"/>
  <c r="C4" i="3"/>
  <c r="C4" i="2"/>
  <c r="E7" i="9" l="1"/>
  <c r="F7" i="9" s="1"/>
  <c r="I10" i="9" s="1"/>
  <c r="E7" i="7"/>
  <c r="F7" i="7" s="1"/>
  <c r="G8" i="2"/>
  <c r="E8" i="2" s="1"/>
  <c r="F8" i="2" s="1"/>
  <c r="G10" i="7"/>
  <c r="G8" i="7"/>
  <c r="G7" i="3"/>
  <c r="E7" i="3" s="1"/>
  <c r="F7" i="3" s="1"/>
  <c r="H11" i="3" s="1"/>
  <c r="G9" i="3"/>
  <c r="E7" i="8"/>
  <c r="F7" i="8" s="1"/>
  <c r="I8" i="1"/>
  <c r="G7" i="1"/>
  <c r="E7" i="12"/>
  <c r="F7" i="12" s="1"/>
  <c r="G10" i="5"/>
  <c r="G7" i="2"/>
  <c r="B2" i="12"/>
  <c r="B3" i="12" s="1"/>
  <c r="I9" i="1" l="1"/>
  <c r="L21" i="1" s="1"/>
  <c r="L20" i="1"/>
  <c r="I10" i="12"/>
  <c r="L19" i="12" s="1"/>
  <c r="L20" i="12" s="1"/>
  <c r="I11" i="9"/>
  <c r="L20" i="9"/>
  <c r="L21" i="9" s="1"/>
  <c r="E8" i="5"/>
  <c r="F8" i="5" s="1"/>
  <c r="E8" i="7"/>
  <c r="F8" i="7" s="1"/>
  <c r="I12" i="7" s="1"/>
  <c r="E10" i="7"/>
  <c r="F10" i="7" s="1"/>
  <c r="E9" i="3"/>
  <c r="F9" i="3" s="1"/>
  <c r="I11" i="3" s="1"/>
  <c r="L21" i="3" s="1"/>
  <c r="M19" i="9"/>
  <c r="E10" i="5"/>
  <c r="F10" i="5" s="1"/>
  <c r="E7" i="1"/>
  <c r="F7" i="1" s="1"/>
  <c r="I10" i="1" s="1"/>
  <c r="L22" i="1" s="1"/>
  <c r="E7" i="2"/>
  <c r="F7" i="2" s="1"/>
  <c r="I11" i="2" s="1"/>
  <c r="H10" i="12"/>
  <c r="I8" i="12"/>
  <c r="I9" i="12" s="1"/>
  <c r="L18" i="12" s="1"/>
  <c r="H9" i="12"/>
  <c r="L23" i="1" l="1"/>
  <c r="L21" i="5"/>
  <c r="L22" i="7"/>
  <c r="M21" i="3"/>
  <c r="L22" i="2"/>
  <c r="M22" i="2" s="1"/>
  <c r="L17" i="12"/>
  <c r="M17" i="12" s="1"/>
  <c r="M21" i="5" l="1"/>
  <c r="M20" i="9"/>
  <c r="M21" i="9"/>
  <c r="I10" i="8"/>
  <c r="L19" i="8" s="1"/>
  <c r="M19" i="8" s="1"/>
  <c r="I12" i="2"/>
  <c r="L23" i="2"/>
  <c r="I11" i="1"/>
  <c r="M18" i="9"/>
  <c r="H7" i="8"/>
  <c r="H10" i="5"/>
  <c r="I11" i="5" s="1"/>
  <c r="I13" i="5" s="1"/>
  <c r="M18" i="12"/>
  <c r="M19" i="12"/>
  <c r="I11" i="12"/>
  <c r="B9" i="11" l="1"/>
  <c r="M22" i="1"/>
  <c r="I8" i="8"/>
  <c r="L17" i="8" s="1"/>
  <c r="I9" i="8"/>
  <c r="L18" i="8" s="1"/>
  <c r="M18" i="8" s="1"/>
  <c r="M20" i="12"/>
  <c r="B3" i="9"/>
  <c r="B2" i="7"/>
  <c r="B3" i="7" s="1"/>
  <c r="L20" i="8" l="1"/>
  <c r="M20" i="8" s="1"/>
  <c r="M17" i="8"/>
  <c r="B2" i="8"/>
  <c r="B3" i="8" s="1"/>
  <c r="B3" i="5"/>
  <c r="L20" i="5"/>
  <c r="B2" i="2"/>
  <c r="B3" i="1"/>
  <c r="M20" i="5" l="1"/>
  <c r="I11" i="8"/>
  <c r="B3" i="2"/>
  <c r="L19" i="5"/>
  <c r="M19" i="5" l="1"/>
  <c r="L20" i="7" l="1"/>
  <c r="I13" i="7"/>
  <c r="L22" i="5"/>
  <c r="M21" i="2"/>
  <c r="M20" i="2"/>
  <c r="M22" i="5" l="1"/>
  <c r="M22" i="7"/>
  <c r="L21" i="7"/>
  <c r="M20" i="7"/>
  <c r="M23" i="2"/>
  <c r="M21" i="1"/>
  <c r="M20" i="1"/>
  <c r="M23" i="1"/>
  <c r="L23" i="7" l="1"/>
  <c r="M23" i="7" s="1"/>
  <c r="M21" i="7"/>
  <c r="B3" i="3"/>
  <c r="H7" i="3" l="1"/>
  <c r="I8" i="3" l="1"/>
  <c r="I10" i="3" l="1"/>
  <c r="L19" i="3"/>
  <c r="B7" i="11" s="1"/>
  <c r="L20" i="3"/>
  <c r="B8" i="11" s="1"/>
  <c r="I12" i="3"/>
  <c r="L22" i="3" l="1"/>
  <c r="M22" i="3" s="1"/>
  <c r="M19" i="3"/>
  <c r="M20" i="3"/>
  <c r="B10" i="11" l="1"/>
  <c r="B22" i="11" s="1"/>
</calcChain>
</file>

<file path=xl/sharedStrings.xml><?xml version="1.0" encoding="utf-8"?>
<sst xmlns="http://schemas.openxmlformats.org/spreadsheetml/2006/main" count="191" uniqueCount="41">
  <si>
    <t>Euros/mes * (Sin IVA)</t>
  </si>
  <si>
    <t>RH00004</t>
  </si>
  <si>
    <t>Red Hat Enterprise Linux Server, Standard (Physical or Virtual Nodes)</t>
  </si>
  <si>
    <t>Euros/año * core (Sin IVA)</t>
  </si>
  <si>
    <t>Euros/año * core (Con IVA)</t>
  </si>
  <si>
    <t>Estimación comienzo contrato</t>
  </si>
  <si>
    <t>Nº Suscripciones</t>
  </si>
  <si>
    <t>Meses</t>
  </si>
  <si>
    <t>Valoración 
económica 
(Sin IVA)</t>
  </si>
  <si>
    <t>Agrupación</t>
  </si>
  <si>
    <t>TOTAL</t>
  </si>
  <si>
    <t>Facturación 
(Sin IVA)</t>
  </si>
  <si>
    <t>Facturación 
(Con IVA)</t>
  </si>
  <si>
    <t>RH00002</t>
  </si>
  <si>
    <t>Red Hat Enterprise Linux for Virtual Datacenters, Standard</t>
  </si>
  <si>
    <t>RH00001</t>
  </si>
  <si>
    <t>Red Hat Enterprise Linux for Virtual Datacenters, Premium</t>
  </si>
  <si>
    <t>RH00025</t>
  </si>
  <si>
    <t xml:space="preserve">High Availability </t>
  </si>
  <si>
    <t>RH00007</t>
  </si>
  <si>
    <t>Red Hat Enterprise Linux Server for Virtual Datacenters with Satellite, Standard</t>
  </si>
  <si>
    <t>RH00153</t>
  </si>
  <si>
    <t>Red Hat Enterprise Linux for SAP Applications for Virtual Datacenters with Satellite, Standard</t>
  </si>
  <si>
    <t>RH00767</t>
  </si>
  <si>
    <t>Red Hat Enterprise Linux for Virtual Datacenters for SAP Solutions, Premium</t>
  </si>
  <si>
    <t>RH00005</t>
  </si>
  <si>
    <t>Red Hat Enterprise Linux Server Entry Level, Self-support</t>
  </si>
  <si>
    <t>TOTAL sin IVA</t>
  </si>
  <si>
    <t>La oferta Global tiene un precio de:</t>
  </si>
  <si>
    <t>IVA incluido</t>
  </si>
  <si>
    <t>Años Completos</t>
  </si>
  <si>
    <t>Meses Sobrantes</t>
  </si>
  <si>
    <t>Valoración 
económica Anual
(Sin IVA)</t>
  </si>
  <si>
    <t>Red Hat Enterprise Linux for SAP Applications for Virtual Datacenters with Satellite, Premium</t>
  </si>
  <si>
    <t>RH00003</t>
  </si>
  <si>
    <t>Red Hat Enterprise Linux Server, Premium (Physical or Virtual Nodes)</t>
  </si>
  <si>
    <t>RH00152</t>
  </si>
  <si>
    <t>Fecha referencia
co-término</t>
  </si>
  <si>
    <t>ANUALIDADES según año contrato</t>
  </si>
  <si>
    <t>Red Hat Enterprise Linux for Virtual Datacenters with Satellite, Premium</t>
  </si>
  <si>
    <t>RH00006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</si>
</sst>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[$€-2]\ * #,##0.00_-;\-[$€-2]\ * #,##0.00_-;_-[$€-2]\ * &quot;-&quot;??_-;_-@_-"/>
    <numFmt numFmtId="165" formatCode="#,##0.00\ &quot;€&quot;"/>
    <numFmt numFmtId="166" formatCode="#,##0.00\ _€"/>
    <numFmt numFmtId="167" formatCode="_-[$€-2]\ * #,##0.00000_-;\-[$€-2]\ * #,##0.00000_-;_-[$€-2]\ 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21211E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2"/>
      <color theme="1"/>
      <name val="Calibri"/>
      <family val="2"/>
      <scheme val="minor"/>
    </font>
    <font>
      <sz val="11"/>
      <color rgb="FF000000"/>
      <name val="Aptos Narrow"/>
    </font>
    <font>
      <b/>
      <sz val="11"/>
      <color rgb="FF000000"/>
      <name val="Aptos Narrow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6" xfId="0" applyFont="1" applyBorder="1"/>
    <xf numFmtId="14" fontId="0" fillId="0" borderId="0" xfId="0" applyNumberFormat="1"/>
    <xf numFmtId="0" fontId="6" fillId="0" borderId="0" xfId="0" applyFont="1"/>
    <xf numFmtId="165" fontId="6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4" borderId="7" xfId="0" applyFont="1" applyFill="1" applyBorder="1" applyAlignment="1">
      <alignment horizontal="center"/>
    </xf>
    <xf numFmtId="0" fontId="0" fillId="0" borderId="8" xfId="0" applyBorder="1"/>
    <xf numFmtId="0" fontId="1" fillId="0" borderId="9" xfId="0" applyFont="1" applyBorder="1" applyAlignment="1">
      <alignment horizontal="center"/>
    </xf>
    <xf numFmtId="165" fontId="0" fillId="0" borderId="10" xfId="0" applyNumberFormat="1" applyBorder="1"/>
    <xf numFmtId="0" fontId="1" fillId="0" borderId="11" xfId="0" applyFont="1" applyBorder="1" applyAlignment="1">
      <alignment horizontal="center"/>
    </xf>
    <xf numFmtId="165" fontId="1" fillId="2" borderId="12" xfId="0" applyNumberFormat="1" applyFont="1" applyFill="1" applyBorder="1"/>
    <xf numFmtId="0" fontId="7" fillId="0" borderId="1" xfId="0" applyFont="1" applyBorder="1" applyAlignment="1">
      <alignment horizontal="right"/>
    </xf>
    <xf numFmtId="0" fontId="8" fillId="0" borderId="6" xfId="0" applyFont="1" applyBorder="1"/>
    <xf numFmtId="14" fontId="0" fillId="0" borderId="0" xfId="0" applyNumberFormat="1" applyAlignment="1">
      <alignment horizontal="right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164" fontId="1" fillId="0" borderId="0" xfId="0" applyNumberFormat="1" applyFont="1"/>
    <xf numFmtId="0" fontId="5" fillId="0" borderId="0" xfId="0" applyFont="1"/>
    <xf numFmtId="164" fontId="1" fillId="0" borderId="13" xfId="0" applyNumberFormat="1" applyFont="1" applyBorder="1"/>
    <xf numFmtId="164" fontId="9" fillId="0" borderId="1" xfId="0" applyNumberFormat="1" applyFont="1" applyBorder="1" applyAlignment="1">
      <alignment horizontal="center"/>
    </xf>
    <xf numFmtId="166" fontId="0" fillId="0" borderId="0" xfId="0" applyNumberFormat="1"/>
    <xf numFmtId="8" fontId="0" fillId="0" borderId="0" xfId="0" applyNumberFormat="1"/>
    <xf numFmtId="2" fontId="0" fillId="0" borderId="0" xfId="0" applyNumberFormat="1"/>
    <xf numFmtId="166" fontId="1" fillId="0" borderId="0" xfId="0" applyNumberFormat="1" applyFont="1"/>
    <xf numFmtId="165" fontId="0" fillId="0" borderId="0" xfId="0" applyNumberFormat="1"/>
    <xf numFmtId="0" fontId="1" fillId="0" borderId="1" xfId="0" applyFont="1" applyBorder="1"/>
    <xf numFmtId="0" fontId="0" fillId="0" borderId="5" xfId="0" applyBorder="1"/>
    <xf numFmtId="1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0" fontId="1" fillId="0" borderId="15" xfId="0" applyFont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164" fontId="0" fillId="0" borderId="15" xfId="0" applyNumberFormat="1" applyBorder="1"/>
    <xf numFmtId="14" fontId="0" fillId="0" borderId="15" xfId="0" applyNumberForma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6" xfId="0" applyBorder="1" applyAlignment="1">
      <alignment horizontal="center"/>
    </xf>
    <xf numFmtId="164" fontId="0" fillId="0" borderId="16" xfId="0" applyNumberFormat="1" applyBorder="1"/>
    <xf numFmtId="0" fontId="0" fillId="0" borderId="4" xfId="0" applyBorder="1" applyAlignment="1">
      <alignment horizontal="center"/>
    </xf>
    <xf numFmtId="164" fontId="0" fillId="0" borderId="4" xfId="0" applyNumberFormat="1" applyBorder="1"/>
    <xf numFmtId="14" fontId="0" fillId="0" borderId="17" xfId="0" applyNumberFormat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0" fillId="0" borderId="19" xfId="0" applyBorder="1"/>
    <xf numFmtId="0" fontId="1" fillId="0" borderId="20" xfId="0" applyFont="1" applyBorder="1" applyAlignment="1">
      <alignment horizontal="center" vertical="center"/>
    </xf>
    <xf numFmtId="0" fontId="0" fillId="0" borderId="21" xfId="0" applyBorder="1"/>
    <xf numFmtId="14" fontId="0" fillId="0" borderId="0" xfId="0" applyNumberFormat="1" applyAlignment="1">
      <alignment horizontal="center"/>
    </xf>
    <xf numFmtId="14" fontId="0" fillId="0" borderId="5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164" fontId="0" fillId="0" borderId="21" xfId="0" applyNumberFormat="1" applyBorder="1"/>
    <xf numFmtId="14" fontId="0" fillId="0" borderId="5" xfId="0" applyNumberFormat="1" applyBorder="1"/>
    <xf numFmtId="0" fontId="0" fillId="0" borderId="5" xfId="0" applyBorder="1" applyAlignment="1">
      <alignment horizontal="center" vertical="center"/>
    </xf>
    <xf numFmtId="164" fontId="0" fillId="0" borderId="20" xfId="0" applyNumberFormat="1" applyBorder="1"/>
    <xf numFmtId="0" fontId="0" fillId="0" borderId="15" xfId="0" applyBorder="1" applyAlignment="1">
      <alignment horizontal="center" vertical="center"/>
    </xf>
    <xf numFmtId="14" fontId="0" fillId="0" borderId="15" xfId="0" applyNumberFormat="1" applyBorder="1"/>
    <xf numFmtId="14" fontId="0" fillId="0" borderId="16" xfId="0" applyNumberFormat="1" applyBorder="1"/>
    <xf numFmtId="0" fontId="0" fillId="0" borderId="16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2" xfId="0" applyBorder="1"/>
    <xf numFmtId="14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64" fontId="0" fillId="0" borderId="22" xfId="0" applyNumberFormat="1" applyBorder="1"/>
    <xf numFmtId="14" fontId="0" fillId="0" borderId="18" xfId="0" applyNumberFormat="1" applyBorder="1" applyAlignment="1">
      <alignment horizontal="center"/>
    </xf>
    <xf numFmtId="0" fontId="0" fillId="0" borderId="14" xfId="0" applyBorder="1"/>
    <xf numFmtId="164" fontId="0" fillId="0" borderId="14" xfId="0" applyNumberFormat="1" applyBorder="1"/>
    <xf numFmtId="0" fontId="0" fillId="0" borderId="14" xfId="0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14" fontId="0" fillId="0" borderId="5" xfId="0" applyNumberFormat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14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14" fontId="0" fillId="0" borderId="14" xfId="0" applyNumberFormat="1" applyBorder="1" applyAlignment="1">
      <alignment horizontal="center" vertical="center" wrapText="1"/>
    </xf>
    <xf numFmtId="164" fontId="0" fillId="0" borderId="23" xfId="0" applyNumberFormat="1" applyBorder="1"/>
    <xf numFmtId="164" fontId="0" fillId="0" borderId="24" xfId="0" applyNumberFormat="1" applyBorder="1"/>
    <xf numFmtId="0" fontId="0" fillId="0" borderId="16" xfId="0" applyBorder="1" applyAlignment="1">
      <alignment horizontal="right" vertical="center"/>
    </xf>
    <xf numFmtId="14" fontId="0" fillId="0" borderId="16" xfId="0" applyNumberFormat="1" applyBorder="1" applyAlignment="1">
      <alignment horizontal="center" vertical="center" wrapText="1"/>
    </xf>
    <xf numFmtId="167" fontId="0" fillId="0" borderId="0" xfId="0" applyNumberFormat="1"/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64" fontId="0" fillId="0" borderId="22" xfId="0" applyNumberFormat="1" applyBorder="1" applyAlignment="1">
      <alignment horizontal="center"/>
    </xf>
    <xf numFmtId="164" fontId="1" fillId="0" borderId="2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workbookViewId="0">
      <selection activeCell="C1" sqref="C1"/>
    </sheetView>
  </sheetViews>
  <sheetFormatPr baseColWidth="10" defaultColWidth="9.140625" defaultRowHeight="15" x14ac:dyDescent="0.25"/>
  <cols>
    <col min="1" max="1" width="26.7109375" bestFit="1" customWidth="1"/>
    <col min="2" max="2" width="12.85546875" customWidth="1"/>
    <col min="3" max="3" width="15.85546875" bestFit="1" customWidth="1"/>
    <col min="4" max="4" width="12.7109375" customWidth="1"/>
    <col min="5" max="5" width="10.42578125" customWidth="1"/>
    <col min="6" max="6" width="10.7109375" customWidth="1"/>
    <col min="7" max="7" width="10.7109375" bestFit="1" customWidth="1"/>
    <col min="8" max="8" width="14.5703125" bestFit="1" customWidth="1"/>
    <col min="9" max="9" width="18.85546875" customWidth="1"/>
    <col min="10" max="10" width="11.42578125" bestFit="1" customWidth="1"/>
    <col min="11" max="11" width="10.5703125" bestFit="1" customWidth="1"/>
    <col min="12" max="12" width="12" bestFit="1" customWidth="1"/>
    <col min="13" max="13" width="15" bestFit="1" customWidth="1"/>
    <col min="14" max="14" width="17.85546875" customWidth="1"/>
  </cols>
  <sheetData>
    <row r="1" spans="1:11" x14ac:dyDescent="0.25">
      <c r="A1" s="4" t="s">
        <v>0</v>
      </c>
      <c r="B1" s="14">
        <v>65.08</v>
      </c>
      <c r="C1" s="19" t="s">
        <v>1</v>
      </c>
      <c r="D1" s="15" t="s">
        <v>2</v>
      </c>
      <c r="E1" s="15"/>
      <c r="F1" s="15"/>
    </row>
    <row r="2" spans="1:11" x14ac:dyDescent="0.25">
      <c r="A2" s="4" t="s">
        <v>3</v>
      </c>
      <c r="B2" s="41">
        <f>B1*12</f>
        <v>780.96</v>
      </c>
    </row>
    <row r="3" spans="1:11" x14ac:dyDescent="0.25">
      <c r="A3" s="4" t="s">
        <v>4</v>
      </c>
      <c r="B3" s="6">
        <f>B2*1.21</f>
        <v>944.96159999999998</v>
      </c>
      <c r="C3" s="3"/>
    </row>
    <row r="4" spans="1:11" x14ac:dyDescent="0.25">
      <c r="A4" s="7" t="s">
        <v>5</v>
      </c>
      <c r="B4" s="8">
        <v>46023</v>
      </c>
      <c r="C4" s="35">
        <f>DATE(YEAR(B4)+3,MONTH(B4),DAY(B4))</f>
        <v>47119</v>
      </c>
    </row>
    <row r="5" spans="1:11" x14ac:dyDescent="0.25">
      <c r="C5" s="3"/>
    </row>
    <row r="6" spans="1:11" ht="60" x14ac:dyDescent="0.25">
      <c r="B6" s="9"/>
      <c r="C6" s="10" t="s">
        <v>6</v>
      </c>
      <c r="D6" s="13" t="s">
        <v>37</v>
      </c>
      <c r="E6" s="13" t="s">
        <v>30</v>
      </c>
      <c r="F6" s="13" t="s">
        <v>31</v>
      </c>
      <c r="G6" s="10" t="s">
        <v>7</v>
      </c>
      <c r="H6" s="13" t="s">
        <v>32</v>
      </c>
      <c r="I6" s="10" t="s">
        <v>9</v>
      </c>
    </row>
    <row r="7" spans="1:11" x14ac:dyDescent="0.25">
      <c r="B7" s="17">
        <v>2026</v>
      </c>
      <c r="C7" s="48">
        <v>28</v>
      </c>
      <c r="D7" s="49">
        <v>46049</v>
      </c>
      <c r="E7" s="50">
        <f>QUOTIENT(G7,12)</f>
        <v>2</v>
      </c>
      <c r="F7" s="62">
        <f>G7-(E7*12)</f>
        <v>11</v>
      </c>
      <c r="G7" s="50">
        <f>DATEDIF(D7,C4,"m")</f>
        <v>35</v>
      </c>
      <c r="H7" s="51">
        <f>$C7*12*$B$1</f>
        <v>21866.880000000001</v>
      </c>
      <c r="I7" s="51"/>
      <c r="J7" s="42"/>
      <c r="K7" s="22"/>
    </row>
    <row r="8" spans="1:11" ht="15.75" thickBot="1" x14ac:dyDescent="0.3">
      <c r="B8" s="57"/>
      <c r="C8" s="53"/>
      <c r="D8" s="64"/>
      <c r="E8" s="54"/>
      <c r="F8" s="54"/>
      <c r="G8" s="54"/>
      <c r="H8" s="55"/>
      <c r="I8" s="55">
        <f>SUM(H7:H7)</f>
        <v>21866.880000000001</v>
      </c>
      <c r="J8" s="42"/>
      <c r="K8" s="22"/>
    </row>
    <row r="9" spans="1:11" ht="15.75" thickBot="1" x14ac:dyDescent="0.3">
      <c r="B9" s="58">
        <v>2027</v>
      </c>
      <c r="C9" s="59"/>
      <c r="D9" s="65"/>
      <c r="E9" s="60"/>
      <c r="F9" s="60"/>
      <c r="G9" s="60"/>
      <c r="H9" s="61"/>
      <c r="I9" s="61">
        <f>I8</f>
        <v>21866.880000000001</v>
      </c>
      <c r="J9" s="42"/>
      <c r="K9" s="22"/>
    </row>
    <row r="10" spans="1:11" ht="15.75" thickBot="1" x14ac:dyDescent="0.3">
      <c r="B10" s="57">
        <v>2028</v>
      </c>
      <c r="C10" s="87"/>
      <c r="D10" s="87"/>
      <c r="E10" s="87"/>
      <c r="F10" s="87"/>
      <c r="G10" s="87"/>
      <c r="H10" s="87"/>
      <c r="I10" s="88">
        <f>C7*B1*F7</f>
        <v>20044.64</v>
      </c>
      <c r="J10" s="42"/>
      <c r="K10" s="22"/>
    </row>
    <row r="11" spans="1:11" x14ac:dyDescent="0.25">
      <c r="B11" s="18" t="s">
        <v>10</v>
      </c>
      <c r="C11" s="26">
        <f>C7</f>
        <v>28</v>
      </c>
      <c r="I11" s="38">
        <f>SUM(I7:I10)</f>
        <v>63778.400000000001</v>
      </c>
      <c r="J11" s="45"/>
    </row>
    <row r="12" spans="1:11" x14ac:dyDescent="0.25">
      <c r="J12" s="42"/>
    </row>
    <row r="13" spans="1:11" x14ac:dyDescent="0.25">
      <c r="J13" s="42"/>
    </row>
    <row r="14" spans="1:11" x14ac:dyDescent="0.25">
      <c r="J14" s="42"/>
    </row>
    <row r="19" spans="11:14" ht="30" x14ac:dyDescent="0.25">
      <c r="K19" s="11"/>
      <c r="L19" s="13" t="s">
        <v>11</v>
      </c>
      <c r="M19" s="13" t="s">
        <v>12</v>
      </c>
    </row>
    <row r="20" spans="11:14" x14ac:dyDescent="0.25">
      <c r="K20" s="25">
        <v>2026</v>
      </c>
      <c r="L20" s="12">
        <f>ROUND(I8,2)</f>
        <v>21866.880000000001</v>
      </c>
      <c r="M20" s="12">
        <f t="shared" ref="M20:M23" si="0">ROUND(L20*1.21,2)</f>
        <v>26458.92</v>
      </c>
      <c r="N20" s="104"/>
    </row>
    <row r="21" spans="11:14" x14ac:dyDescent="0.25">
      <c r="K21" s="25">
        <v>2027</v>
      </c>
      <c r="L21" s="12">
        <f>ROUND(I9,2)</f>
        <v>21866.880000000001</v>
      </c>
      <c r="M21" s="12">
        <f t="shared" si="0"/>
        <v>26458.92</v>
      </c>
      <c r="N21" s="104"/>
    </row>
    <row r="22" spans="11:14" x14ac:dyDescent="0.25">
      <c r="K22" s="25">
        <v>2028</v>
      </c>
      <c r="L22" s="12">
        <f>ROUND(I10,2)</f>
        <v>20044.64</v>
      </c>
      <c r="M22" s="12">
        <f t="shared" si="0"/>
        <v>24254.01</v>
      </c>
      <c r="N22" s="104"/>
    </row>
    <row r="23" spans="11:14" x14ac:dyDescent="0.25">
      <c r="K23" s="25" t="s">
        <v>10</v>
      </c>
      <c r="L23" s="12">
        <f>ROUND(SUM(L20:L22),2)</f>
        <v>63778.400000000001</v>
      </c>
      <c r="M23" s="12">
        <f t="shared" si="0"/>
        <v>77171.86</v>
      </c>
      <c r="N23" s="104"/>
    </row>
  </sheetData>
  <protectedRanges>
    <protectedRange algorithmName="SHA-512" hashValue="hoVQdKFeFKMgE0T48qQ2S6net6nQl8ycV+AxD4Vcg07ZGhg00RMUavBPqw1JLoazOOtXJSImzGY/ZKfa74X1kg==" saltValue="U1QMlaBrsUlj1RTnY4ehiQ==" spinCount="100000" sqref="B1" name="Rango1"/>
  </protectedRange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4FBB-525C-485D-8DDA-58D979210B4D}">
  <dimension ref="A1:M20"/>
  <sheetViews>
    <sheetView workbookViewId="0">
      <selection activeCell="J7" sqref="J7"/>
    </sheetView>
  </sheetViews>
  <sheetFormatPr baseColWidth="10" defaultColWidth="11.42578125" defaultRowHeight="15" x14ac:dyDescent="0.25"/>
  <cols>
    <col min="1" max="1" width="26.5703125" customWidth="1"/>
    <col min="2" max="2" width="17.28515625" customWidth="1"/>
    <col min="3" max="3" width="15" bestFit="1" customWidth="1"/>
    <col min="9" max="9" width="12.7109375" customWidth="1"/>
    <col min="11" max="11" width="12.42578125" customWidth="1"/>
    <col min="12" max="12" width="12.28515625" customWidth="1"/>
    <col min="13" max="14" width="11.7109375" bestFit="1" customWidth="1"/>
  </cols>
  <sheetData>
    <row r="1" spans="1:13" x14ac:dyDescent="0.25">
      <c r="A1" s="4" t="s">
        <v>0</v>
      </c>
      <c r="B1" s="14">
        <v>32.5</v>
      </c>
      <c r="C1" s="33" t="s">
        <v>17</v>
      </c>
      <c r="D1" s="34" t="s">
        <v>18</v>
      </c>
    </row>
    <row r="2" spans="1:13" x14ac:dyDescent="0.25">
      <c r="A2" s="4" t="s">
        <v>3</v>
      </c>
      <c r="B2" s="5">
        <f>B1*12</f>
        <v>390</v>
      </c>
    </row>
    <row r="3" spans="1:13" x14ac:dyDescent="0.25">
      <c r="A3" s="4" t="s">
        <v>4</v>
      </c>
      <c r="B3" s="6">
        <f>B2*1.21</f>
        <v>471.9</v>
      </c>
      <c r="C3" s="3"/>
    </row>
    <row r="4" spans="1:13" x14ac:dyDescent="0.25">
      <c r="A4" s="7" t="s">
        <v>5</v>
      </c>
      <c r="B4" s="8">
        <v>46023</v>
      </c>
      <c r="C4" s="35">
        <f>DATE(YEAR(B4)+3,MONTH(B4),DAY(B4))</f>
        <v>47119</v>
      </c>
    </row>
    <row r="5" spans="1:13" x14ac:dyDescent="0.25">
      <c r="C5" s="3"/>
    </row>
    <row r="6" spans="1:13" ht="45" x14ac:dyDescent="0.25">
      <c r="B6" s="9"/>
      <c r="C6" s="10" t="s">
        <v>6</v>
      </c>
      <c r="D6" s="13" t="s">
        <v>37</v>
      </c>
      <c r="E6" s="13" t="s">
        <v>30</v>
      </c>
      <c r="F6" s="13" t="s">
        <v>31</v>
      </c>
      <c r="G6" s="10" t="s">
        <v>7</v>
      </c>
      <c r="H6" s="13" t="s">
        <v>8</v>
      </c>
      <c r="I6" s="10" t="s">
        <v>9</v>
      </c>
    </row>
    <row r="7" spans="1:13" x14ac:dyDescent="0.25">
      <c r="B7" s="16">
        <v>2026</v>
      </c>
      <c r="C7" s="9">
        <v>4</v>
      </c>
      <c r="D7" s="8">
        <v>46049</v>
      </c>
      <c r="E7" s="11">
        <f>QUOTIENT(G7,12)</f>
        <v>2</v>
      </c>
      <c r="F7" s="11">
        <f>G7-(E7*12)</f>
        <v>11</v>
      </c>
      <c r="G7">
        <f>DATEDIF(D7,C4,"m")</f>
        <v>35</v>
      </c>
      <c r="H7" s="12">
        <f>$C7*12*$B$1</f>
        <v>1560</v>
      </c>
      <c r="I7" s="9"/>
      <c r="J7" s="44"/>
    </row>
    <row r="8" spans="1:13" ht="15.75" thickBot="1" x14ac:dyDescent="0.3">
      <c r="B8" s="57"/>
      <c r="C8" s="53"/>
      <c r="D8" s="54"/>
      <c r="E8" s="54"/>
      <c r="F8" s="54"/>
      <c r="G8" s="54"/>
      <c r="H8" s="55"/>
      <c r="I8" s="55">
        <f>SUM(H7:H7)</f>
        <v>1560</v>
      </c>
    </row>
    <row r="9" spans="1:13" ht="15.75" thickBot="1" x14ac:dyDescent="0.3">
      <c r="B9" s="58">
        <v>2027</v>
      </c>
      <c r="C9" s="59"/>
      <c r="D9" s="65"/>
      <c r="E9" s="60">
        <f t="shared" ref="E9:E10" si="0">QUOTIENT(G9,12)</f>
        <v>0</v>
      </c>
      <c r="F9" s="60">
        <f t="shared" ref="F9:F10" si="1">G9-(E9*12)</f>
        <v>0</v>
      </c>
      <c r="G9" s="60"/>
      <c r="H9" s="61">
        <f t="shared" ref="H9:H10" si="2">$C9*$G9*$B$1</f>
        <v>0</v>
      </c>
      <c r="I9" s="61">
        <f>I8</f>
        <v>1560</v>
      </c>
    </row>
    <row r="10" spans="1:13" ht="15.75" thickBot="1" x14ac:dyDescent="0.3">
      <c r="B10" s="58">
        <v>2028</v>
      </c>
      <c r="C10" s="59"/>
      <c r="D10" s="66"/>
      <c r="E10" s="60">
        <f t="shared" si="0"/>
        <v>0</v>
      </c>
      <c r="F10" s="60">
        <f t="shared" si="1"/>
        <v>0</v>
      </c>
      <c r="G10" s="60"/>
      <c r="H10" s="61">
        <f t="shared" si="2"/>
        <v>0</v>
      </c>
      <c r="I10" s="61">
        <f>C7*B1*F7</f>
        <v>1430</v>
      </c>
      <c r="J10" s="22"/>
    </row>
    <row r="11" spans="1:13" x14ac:dyDescent="0.25">
      <c r="B11" s="10" t="s">
        <v>10</v>
      </c>
      <c r="C11">
        <v>4</v>
      </c>
      <c r="D11" s="1"/>
      <c r="E11" s="1"/>
      <c r="F11" s="40"/>
      <c r="G11" s="2"/>
      <c r="I11" s="38">
        <f>SUM(I8:I10)</f>
        <v>4550</v>
      </c>
      <c r="J11" s="22"/>
    </row>
    <row r="13" spans="1:13" x14ac:dyDescent="0.25">
      <c r="J13" s="22"/>
    </row>
    <row r="16" spans="1:13" ht="30" x14ac:dyDescent="0.25">
      <c r="K16" s="11"/>
      <c r="L16" s="13" t="s">
        <v>11</v>
      </c>
      <c r="M16" s="13" t="s">
        <v>12</v>
      </c>
    </row>
    <row r="17" spans="11:13" x14ac:dyDescent="0.25">
      <c r="K17" s="25">
        <v>2026</v>
      </c>
      <c r="L17" s="12">
        <f>I8</f>
        <v>1560</v>
      </c>
      <c r="M17" s="12">
        <f>ROUND(L17*1.21,2)</f>
        <v>1887.6</v>
      </c>
    </row>
    <row r="18" spans="11:13" x14ac:dyDescent="0.25">
      <c r="K18" s="25">
        <v>2027</v>
      </c>
      <c r="L18" s="12">
        <f>I9</f>
        <v>1560</v>
      </c>
      <c r="M18" s="12">
        <f>ROUND(L18*1.21,2)</f>
        <v>1887.6</v>
      </c>
    </row>
    <row r="19" spans="11:13" x14ac:dyDescent="0.25">
      <c r="K19" s="25">
        <v>2028</v>
      </c>
      <c r="L19" s="12">
        <f>I10</f>
        <v>1430</v>
      </c>
      <c r="M19" s="12">
        <f>ROUND(L19*1.21,2)</f>
        <v>1730.3</v>
      </c>
    </row>
    <row r="20" spans="11:13" x14ac:dyDescent="0.25">
      <c r="K20" s="25" t="s">
        <v>10</v>
      </c>
      <c r="L20" s="12">
        <f>SUM(L17:L19)</f>
        <v>4550</v>
      </c>
      <c r="M20" s="12">
        <f>ROUND(L20*1.21,2)</f>
        <v>5505.5</v>
      </c>
    </row>
  </sheetData>
  <protectedRanges>
    <protectedRange algorithmName="SHA-512" hashValue="hoVQdKFeFKMgE0T48qQ2S6net6nQl8ycV+AxD4Vcg07ZGhg00RMUavBPqw1JLoazOOtXJSImzGY/ZKfa74X1kg==" saltValue="U1QMlaBrsUlj1RTnY4ehiQ==" spinCount="100000" sqref="B1" name="Rango1"/>
  </protectedRange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2E46-41FE-48EB-8246-E79B2E92933C}">
  <dimension ref="A1:M20"/>
  <sheetViews>
    <sheetView tabSelected="1" workbookViewId="0">
      <selection activeCell="J8" sqref="J8"/>
    </sheetView>
  </sheetViews>
  <sheetFormatPr baseColWidth="10" defaultColWidth="11.42578125" defaultRowHeight="15" x14ac:dyDescent="0.25"/>
  <cols>
    <col min="1" max="1" width="26.5703125" customWidth="1"/>
    <col min="2" max="2" width="17.28515625" customWidth="1"/>
    <col min="3" max="3" width="15" bestFit="1" customWidth="1"/>
    <col min="8" max="8" width="13" bestFit="1" customWidth="1"/>
    <col min="9" max="9" width="12.7109375" customWidth="1"/>
    <col min="10" max="10" width="13" bestFit="1" customWidth="1"/>
    <col min="11" max="11" width="12.42578125" customWidth="1"/>
    <col min="12" max="13" width="13" bestFit="1" customWidth="1"/>
    <col min="14" max="14" width="11.7109375" bestFit="1" customWidth="1"/>
  </cols>
  <sheetData>
    <row r="1" spans="1:13" x14ac:dyDescent="0.25">
      <c r="A1" s="4" t="s">
        <v>0</v>
      </c>
      <c r="B1" s="14">
        <v>425.66</v>
      </c>
      <c r="C1" s="33" t="s">
        <v>40</v>
      </c>
      <c r="D1" s="34" t="s">
        <v>39</v>
      </c>
    </row>
    <row r="2" spans="1:13" x14ac:dyDescent="0.25">
      <c r="A2" s="4" t="s">
        <v>3</v>
      </c>
      <c r="B2" s="5">
        <f>B1*12</f>
        <v>5107.92</v>
      </c>
    </row>
    <row r="3" spans="1:13" x14ac:dyDescent="0.25">
      <c r="A3" s="4" t="s">
        <v>4</v>
      </c>
      <c r="B3" s="6">
        <f>B2*1.21</f>
        <v>6180.5832</v>
      </c>
      <c r="C3" s="3"/>
    </row>
    <row r="4" spans="1:13" x14ac:dyDescent="0.25">
      <c r="A4" s="7" t="s">
        <v>5</v>
      </c>
      <c r="B4" s="8">
        <v>46023</v>
      </c>
      <c r="C4" s="35">
        <f>DATE(YEAR(B4)+3,MONTH(B4),DAY(B4))</f>
        <v>47119</v>
      </c>
    </row>
    <row r="5" spans="1:13" x14ac:dyDescent="0.25">
      <c r="C5" s="3"/>
    </row>
    <row r="6" spans="1:13" ht="45.75" thickBot="1" x14ac:dyDescent="0.3">
      <c r="B6" s="9"/>
      <c r="C6" s="10" t="s">
        <v>6</v>
      </c>
      <c r="D6" s="13" t="s">
        <v>37</v>
      </c>
      <c r="E6" s="13" t="s">
        <v>30</v>
      </c>
      <c r="F6" s="13" t="s">
        <v>31</v>
      </c>
      <c r="G6" s="10" t="s">
        <v>7</v>
      </c>
      <c r="H6" s="13" t="s">
        <v>8</v>
      </c>
      <c r="I6" s="10" t="s">
        <v>9</v>
      </c>
    </row>
    <row r="7" spans="1:13" x14ac:dyDescent="0.25">
      <c r="B7" s="81">
        <v>2026</v>
      </c>
      <c r="C7" s="82">
        <v>14</v>
      </c>
      <c r="D7" s="83">
        <v>46319</v>
      </c>
      <c r="E7" s="84">
        <f t="shared" ref="E7:E9" si="0">QUOTIENT(G7,12)</f>
        <v>2</v>
      </c>
      <c r="F7" s="84">
        <f t="shared" ref="F7:F9" si="1">G7-(E7*12)</f>
        <v>2</v>
      </c>
      <c r="G7" s="84">
        <f>DATEDIF(D7,C4,"m")</f>
        <v>26</v>
      </c>
      <c r="H7" s="85">
        <f>$C7*12*$B$1</f>
        <v>71510.880000000005</v>
      </c>
      <c r="I7" s="85"/>
      <c r="J7" s="44"/>
    </row>
    <row r="8" spans="1:13" ht="15.75" thickBot="1" x14ac:dyDescent="0.3">
      <c r="B8" s="52"/>
      <c r="C8" s="53"/>
      <c r="D8" s="86"/>
      <c r="E8" s="54"/>
      <c r="F8" s="54"/>
      <c r="G8" s="54"/>
      <c r="H8" s="55"/>
      <c r="I8" s="55">
        <f>H7</f>
        <v>71510.880000000005</v>
      </c>
      <c r="J8" s="2"/>
    </row>
    <row r="9" spans="1:13" ht="15.75" thickBot="1" x14ac:dyDescent="0.3">
      <c r="B9" s="58">
        <v>2027</v>
      </c>
      <c r="C9" s="59"/>
      <c r="D9" s="66"/>
      <c r="E9" s="60">
        <f t="shared" si="0"/>
        <v>0</v>
      </c>
      <c r="F9" s="60">
        <f t="shared" si="1"/>
        <v>0</v>
      </c>
      <c r="G9" s="60"/>
      <c r="H9" s="61">
        <f t="shared" ref="H9:H10" si="2">$C9*$G9*$B$1</f>
        <v>0</v>
      </c>
      <c r="I9" s="61">
        <f>I8</f>
        <v>71510.880000000005</v>
      </c>
      <c r="J9" s="2"/>
    </row>
    <row r="10" spans="1:13" ht="15.75" thickBot="1" x14ac:dyDescent="0.3">
      <c r="B10" s="58">
        <v>2028</v>
      </c>
      <c r="C10" s="59"/>
      <c r="D10" s="66"/>
      <c r="E10" s="60">
        <f t="shared" ref="E10" si="3">QUOTIENT(G10,12)</f>
        <v>0</v>
      </c>
      <c r="F10" s="60">
        <f t="shared" ref="F10" si="4">G10-(E10*12)</f>
        <v>0</v>
      </c>
      <c r="G10" s="60"/>
      <c r="H10" s="61">
        <f t="shared" si="2"/>
        <v>0</v>
      </c>
      <c r="I10" s="61">
        <f>C7*B1*F7</f>
        <v>11918.480000000001</v>
      </c>
      <c r="J10" s="22"/>
    </row>
    <row r="11" spans="1:13" x14ac:dyDescent="0.25">
      <c r="B11" s="10" t="s">
        <v>10</v>
      </c>
      <c r="C11">
        <v>14</v>
      </c>
      <c r="D11" s="1"/>
      <c r="E11" s="1"/>
      <c r="F11" s="40"/>
      <c r="G11" s="2"/>
      <c r="I11" s="38">
        <f>SUM(I7:I10)</f>
        <v>154940.24000000002</v>
      </c>
      <c r="J11" s="22"/>
    </row>
    <row r="13" spans="1:13" x14ac:dyDescent="0.25">
      <c r="J13" s="22"/>
    </row>
    <row r="16" spans="1:13" ht="30" x14ac:dyDescent="0.25">
      <c r="K16" s="11"/>
      <c r="L16" s="13" t="s">
        <v>11</v>
      </c>
      <c r="M16" s="13" t="s">
        <v>12</v>
      </c>
    </row>
    <row r="17" spans="11:13" x14ac:dyDescent="0.25">
      <c r="K17" s="25">
        <v>2026</v>
      </c>
      <c r="L17" s="12">
        <f>I8</f>
        <v>71510.880000000005</v>
      </c>
      <c r="M17" s="12">
        <f>ROUND(L17*1.21,2)</f>
        <v>86528.16</v>
      </c>
    </row>
    <row r="18" spans="11:13" x14ac:dyDescent="0.25">
      <c r="K18" s="25">
        <v>2027</v>
      </c>
      <c r="L18" s="12">
        <f>I9</f>
        <v>71510.880000000005</v>
      </c>
      <c r="M18" s="12">
        <f>ROUND(L18*1.21,2)</f>
        <v>86528.16</v>
      </c>
    </row>
    <row r="19" spans="11:13" x14ac:dyDescent="0.25">
      <c r="K19" s="25">
        <v>2028</v>
      </c>
      <c r="L19" s="12">
        <f>I10</f>
        <v>11918.480000000001</v>
      </c>
      <c r="M19" s="12">
        <f>ROUND(L19*1.21,2)</f>
        <v>14421.36</v>
      </c>
    </row>
    <row r="20" spans="11:13" x14ac:dyDescent="0.25">
      <c r="K20" s="25" t="s">
        <v>10</v>
      </c>
      <c r="L20" s="12">
        <f>SUM(L17:L19)</f>
        <v>154940.24000000002</v>
      </c>
      <c r="M20" s="12">
        <f>ROUND(L20*1.21,2)</f>
        <v>187477.69</v>
      </c>
    </row>
  </sheetData>
  <protectedRanges>
    <protectedRange algorithmName="SHA-512" hashValue="hoVQdKFeFKMgE0T48qQ2S6net6nQl8ycV+AxD4Vcg07ZGhg00RMUavBPqw1JLoazOOtXJSImzGY/ZKfa74X1kg==" saltValue="U1QMlaBrsUlj1RTnY4ehiQ==" spinCount="100000" sqref="B1" name="Rango1"/>
  </protectedRange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98B23-A441-4E20-B4CB-3D348BE44D48}">
  <dimension ref="A5:K24"/>
  <sheetViews>
    <sheetView topLeftCell="A4" workbookViewId="0">
      <selection activeCell="C7" sqref="C7:C10"/>
    </sheetView>
  </sheetViews>
  <sheetFormatPr baseColWidth="10" defaultColWidth="11.42578125" defaultRowHeight="15" x14ac:dyDescent="0.25"/>
  <cols>
    <col min="1" max="1" width="34.5703125" bestFit="1" customWidth="1"/>
    <col min="2" max="2" width="26.42578125" customWidth="1"/>
    <col min="3" max="3" width="18.42578125" customWidth="1"/>
    <col min="6" max="6" width="29.140625" bestFit="1" customWidth="1"/>
    <col min="7" max="8" width="13" bestFit="1" customWidth="1"/>
    <col min="9" max="9" width="13.140625" bestFit="1" customWidth="1"/>
    <col min="11" max="11" width="12.5703125" bestFit="1" customWidth="1"/>
  </cols>
  <sheetData>
    <row r="5" spans="1:9" ht="15.75" thickBot="1" x14ac:dyDescent="0.3"/>
    <row r="6" spans="1:9" x14ac:dyDescent="0.25">
      <c r="A6" s="27" t="s">
        <v>38</v>
      </c>
      <c r="B6" s="28"/>
    </row>
    <row r="7" spans="1:9" x14ac:dyDescent="0.25">
      <c r="A7" s="29">
        <v>2026</v>
      </c>
      <c r="B7" s="30">
        <f>SUM(ROUND('L2-RH00004'!L20,2),ROUND('L2-RH00002'!L20,2),ROUND('L2-RH00001'!L19,2),ROUND('L2-RH00007'!L19,2),ROUND('L2-RH00152'!L17,2),ROUND('L2-RH00153'!L20,2),ROUND('L2-RH00767'!L17,2),ROUND('L2-RH00005'!L18,2),ROUND('L2-RH00003'!L18,2),ROUND('L2-RH00025'!L17,2),ROUND('L2-RH00006'!L17,2))</f>
        <v>496061.52</v>
      </c>
      <c r="C7" s="46"/>
      <c r="I7" s="46"/>
    </row>
    <row r="8" spans="1:9" x14ac:dyDescent="0.25">
      <c r="A8" s="29">
        <v>2027</v>
      </c>
      <c r="B8" s="30">
        <f>SUM('L2-RH00004'!L21,'L2-RH00002'!L21,'L2-RH00001'!L20,'L2-RH00007'!L20,'L2-RH00152'!L18,'L2-RH00153'!L21,'L2-RH00767'!L18,'L2-RH00005'!L19,'L2-RH00003'!L19,'L2-RH00025'!L18,'L2-RH00006'!L18)</f>
        <v>673525.2</v>
      </c>
      <c r="C8" s="46"/>
      <c r="I8" s="46"/>
    </row>
    <row r="9" spans="1:9" x14ac:dyDescent="0.25">
      <c r="A9" s="29">
        <v>2028</v>
      </c>
      <c r="B9" s="30">
        <f>SUM('L2-RH00004'!L22,'L2-RH00002'!L22,'L2-RH00001'!L21,'L2-RH00007'!L21,'L2-RH00152'!L19,'L2-RH00153'!L22,'L2-RH00767'!L19,'L2-RH00005'!L20,'L2-RH00003'!L20,'L2-RH00025'!L19,'L2-RH00006'!L19)</f>
        <v>442930.00999999995</v>
      </c>
      <c r="C9" s="46"/>
      <c r="I9" s="46"/>
    </row>
    <row r="10" spans="1:9" ht="15.75" thickBot="1" x14ac:dyDescent="0.3">
      <c r="A10" s="31" t="s">
        <v>27</v>
      </c>
      <c r="B10" s="32">
        <f>SUM(B7:B9)</f>
        <v>1612516.73</v>
      </c>
      <c r="C10" s="46"/>
      <c r="I10" s="46"/>
    </row>
    <row r="11" spans="1:9" x14ac:dyDescent="0.25">
      <c r="I11" s="46"/>
    </row>
    <row r="19" spans="1:11" x14ac:dyDescent="0.25">
      <c r="G19" s="43"/>
    </row>
    <row r="22" spans="1:11" ht="15.75" x14ac:dyDescent="0.25">
      <c r="A22" s="23" t="s">
        <v>28</v>
      </c>
      <c r="B22" s="24">
        <f>ROUND(B10*1.21,2)</f>
        <v>1951145.24</v>
      </c>
      <c r="C22" s="26" t="s">
        <v>29</v>
      </c>
    </row>
    <row r="24" spans="1:11" x14ac:dyDescent="0.25">
      <c r="K24" s="4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9E47F-3511-4C55-8130-F3F54ACFB241}">
  <dimension ref="A1:M23"/>
  <sheetViews>
    <sheetView workbookViewId="0">
      <selection activeCell="I12" sqref="I12"/>
    </sheetView>
  </sheetViews>
  <sheetFormatPr baseColWidth="10" defaultColWidth="11.42578125" defaultRowHeight="15" x14ac:dyDescent="0.25"/>
  <cols>
    <col min="1" max="1" width="27.85546875" bestFit="1" customWidth="1"/>
    <col min="2" max="2" width="13.28515625" customWidth="1"/>
    <col min="3" max="3" width="15" bestFit="1" customWidth="1"/>
    <col min="4" max="4" width="14.140625" customWidth="1"/>
    <col min="5" max="5" width="11" customWidth="1"/>
    <col min="6" max="6" width="9.7109375" customWidth="1"/>
    <col min="7" max="7" width="11.85546875" bestFit="1" customWidth="1"/>
    <col min="8" max="8" width="12.85546875" bestFit="1" customWidth="1"/>
    <col min="9" max="10" width="13.140625" bestFit="1" customWidth="1"/>
    <col min="11" max="11" width="5.85546875" bestFit="1" customWidth="1"/>
    <col min="12" max="12" width="13.140625" bestFit="1" customWidth="1"/>
    <col min="13" max="14" width="13" bestFit="1" customWidth="1"/>
  </cols>
  <sheetData>
    <row r="1" spans="1:10" x14ac:dyDescent="0.25">
      <c r="A1" s="4" t="s">
        <v>0</v>
      </c>
      <c r="B1" s="14">
        <v>203.58</v>
      </c>
      <c r="C1" s="20" t="s">
        <v>13</v>
      </c>
      <c r="D1" s="21" t="s">
        <v>14</v>
      </c>
      <c r="E1" s="39"/>
      <c r="F1" s="39"/>
    </row>
    <row r="2" spans="1:10" x14ac:dyDescent="0.25">
      <c r="A2" s="4" t="s">
        <v>3</v>
      </c>
      <c r="B2" s="5">
        <f>B1*12</f>
        <v>2442.96</v>
      </c>
    </row>
    <row r="3" spans="1:10" x14ac:dyDescent="0.25">
      <c r="A3" s="4" t="s">
        <v>4</v>
      </c>
      <c r="B3" s="6">
        <f>B2*1.21</f>
        <v>2955.9816000000001</v>
      </c>
      <c r="C3" s="3"/>
    </row>
    <row r="4" spans="1:10" x14ac:dyDescent="0.25">
      <c r="A4" s="7" t="s">
        <v>5</v>
      </c>
      <c r="B4" s="8">
        <v>46023</v>
      </c>
      <c r="C4" s="35">
        <f>DATE(YEAR(B4)+3,MONTH(B4),DAY(B4))</f>
        <v>47119</v>
      </c>
    </row>
    <row r="5" spans="1:10" x14ac:dyDescent="0.25">
      <c r="C5" s="3"/>
    </row>
    <row r="6" spans="1:10" ht="45.75" thickBot="1" x14ac:dyDescent="0.3">
      <c r="B6" s="9"/>
      <c r="C6" s="10" t="s">
        <v>6</v>
      </c>
      <c r="D6" s="13" t="s">
        <v>37</v>
      </c>
      <c r="E6" s="13" t="s">
        <v>30</v>
      </c>
      <c r="F6" s="13" t="s">
        <v>31</v>
      </c>
      <c r="G6" s="10" t="s">
        <v>7</v>
      </c>
      <c r="H6" s="13" t="s">
        <v>8</v>
      </c>
      <c r="I6" s="10" t="s">
        <v>9</v>
      </c>
    </row>
    <row r="7" spans="1:10" x14ac:dyDescent="0.25">
      <c r="B7" s="91">
        <v>2026</v>
      </c>
      <c r="C7" s="48">
        <v>60</v>
      </c>
      <c r="D7" s="49">
        <v>46049</v>
      </c>
      <c r="E7" s="50">
        <f>QUOTIENT(G7,12)</f>
        <v>2</v>
      </c>
      <c r="F7" s="50">
        <f>G7-(E7*12)</f>
        <v>11</v>
      </c>
      <c r="G7" s="50">
        <f>DATEDIF(D7,C4,"m")</f>
        <v>35</v>
      </c>
      <c r="H7" s="51">
        <f>C7*B1*12</f>
        <v>146577.60000000001</v>
      </c>
      <c r="I7" s="48"/>
      <c r="J7" s="2"/>
    </row>
    <row r="8" spans="1:10" x14ac:dyDescent="0.25">
      <c r="B8" s="18"/>
      <c r="C8" s="9">
        <v>10</v>
      </c>
      <c r="D8" s="8">
        <v>46319</v>
      </c>
      <c r="E8" s="11">
        <f>QUOTIENT(G8,12)</f>
        <v>2</v>
      </c>
      <c r="F8" s="11">
        <f>G8-(E8*12)</f>
        <v>2</v>
      </c>
      <c r="G8" s="11">
        <f>DATEDIF(D8,C4,"m")</f>
        <v>26</v>
      </c>
      <c r="H8" s="12">
        <f>C8*12*$B$1</f>
        <v>24429.600000000002</v>
      </c>
      <c r="I8" s="12"/>
      <c r="J8" s="2"/>
    </row>
    <row r="9" spans="1:10" ht="15.75" thickBot="1" x14ac:dyDescent="0.3">
      <c r="B9" s="52"/>
      <c r="C9" s="53"/>
      <c r="D9" s="56"/>
      <c r="E9" s="54"/>
      <c r="F9" s="54"/>
      <c r="G9" s="54"/>
      <c r="H9" s="55"/>
      <c r="I9" s="55">
        <f>SUM(H7:H8)</f>
        <v>171007.2</v>
      </c>
      <c r="J9" s="2"/>
    </row>
    <row r="10" spans="1:10" ht="15.75" thickBot="1" x14ac:dyDescent="0.3">
      <c r="B10" s="58">
        <v>2027</v>
      </c>
      <c r="C10" s="59"/>
      <c r="D10" s="65"/>
      <c r="E10" s="60"/>
      <c r="F10" s="60"/>
      <c r="G10" s="60"/>
      <c r="H10" s="61"/>
      <c r="I10" s="61">
        <f>I9</f>
        <v>171007.2</v>
      </c>
      <c r="J10" s="2"/>
    </row>
    <row r="11" spans="1:10" ht="15.75" thickBot="1" x14ac:dyDescent="0.3">
      <c r="B11" s="58">
        <v>2028</v>
      </c>
      <c r="C11" s="59"/>
      <c r="D11" s="65"/>
      <c r="E11" s="60"/>
      <c r="F11" s="60"/>
      <c r="G11" s="60"/>
      <c r="H11" s="60"/>
      <c r="I11" s="110">
        <f>C7*B1*F7+C8*B1*F8</f>
        <v>138434.40000000002</v>
      </c>
      <c r="J11" s="2"/>
    </row>
    <row r="12" spans="1:10" x14ac:dyDescent="0.25">
      <c r="B12" s="18" t="s">
        <v>10</v>
      </c>
      <c r="C12" s="26">
        <f>SUM(C7:C8)</f>
        <v>70</v>
      </c>
      <c r="I12" s="111">
        <f>SUM(I7:I11)</f>
        <v>480448.80000000005</v>
      </c>
    </row>
    <row r="13" spans="1:10" x14ac:dyDescent="0.25">
      <c r="J13" s="38"/>
    </row>
    <row r="14" spans="1:10" x14ac:dyDescent="0.25">
      <c r="J14" s="22"/>
    </row>
    <row r="17" spans="11:13" x14ac:dyDescent="0.25">
      <c r="L17" s="2"/>
    </row>
    <row r="19" spans="11:13" ht="30" x14ac:dyDescent="0.25">
      <c r="K19" s="11"/>
      <c r="L19" s="13" t="s">
        <v>11</v>
      </c>
      <c r="M19" s="13" t="s">
        <v>12</v>
      </c>
    </row>
    <row r="20" spans="11:13" x14ac:dyDescent="0.25">
      <c r="K20" s="25">
        <v>2026</v>
      </c>
      <c r="L20" s="12">
        <f>I9</f>
        <v>171007.2</v>
      </c>
      <c r="M20" s="12">
        <f t="shared" ref="M20:M23" si="0">ROUND(L20*1.21,2)</f>
        <v>206918.71</v>
      </c>
    </row>
    <row r="21" spans="11:13" x14ac:dyDescent="0.25">
      <c r="K21" s="25">
        <v>2027</v>
      </c>
      <c r="L21" s="12">
        <f>I10</f>
        <v>171007.2</v>
      </c>
      <c r="M21" s="12">
        <f t="shared" si="0"/>
        <v>206918.71</v>
      </c>
    </row>
    <row r="22" spans="11:13" x14ac:dyDescent="0.25">
      <c r="K22" s="25">
        <v>2028</v>
      </c>
      <c r="L22" s="12">
        <f>I11</f>
        <v>138434.40000000002</v>
      </c>
      <c r="M22" s="12">
        <f t="shared" si="0"/>
        <v>167505.62</v>
      </c>
    </row>
    <row r="23" spans="11:13" x14ac:dyDescent="0.25">
      <c r="K23" s="47" t="s">
        <v>10</v>
      </c>
      <c r="L23" s="12">
        <f>SUM(L20:L22)</f>
        <v>480448.80000000005</v>
      </c>
      <c r="M23" s="12">
        <f t="shared" si="0"/>
        <v>581343.05000000005</v>
      </c>
    </row>
  </sheetData>
  <protectedRanges>
    <protectedRange algorithmName="SHA-512" hashValue="hoVQdKFeFKMgE0T48qQ2S6net6nQl8ycV+AxD4Vcg07ZGhg00RMUavBPqw1JLoazOOtXJSImzGY/ZKfa74X1kg==" saltValue="U1QMlaBrsUlj1RTnY4ehiQ==" spinCount="100000" sqref="B1" name="Rango1"/>
  </protectedRange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644FD-D9C2-46C4-9ECD-AA69C308DA00}">
  <dimension ref="A1:M22"/>
  <sheetViews>
    <sheetView workbookViewId="0">
      <selection activeCell="C1" sqref="C1"/>
    </sheetView>
  </sheetViews>
  <sheetFormatPr baseColWidth="10" defaultColWidth="11.42578125" defaultRowHeight="15" x14ac:dyDescent="0.25"/>
  <cols>
    <col min="1" max="1" width="26.7109375" bestFit="1" customWidth="1"/>
    <col min="2" max="2" width="11" bestFit="1" customWidth="1"/>
    <col min="3" max="3" width="15" bestFit="1" customWidth="1"/>
    <col min="4" max="4" width="11.42578125" customWidth="1"/>
    <col min="6" max="6" width="12.85546875" bestFit="1" customWidth="1"/>
    <col min="7" max="7" width="12.7109375" bestFit="1" customWidth="1"/>
    <col min="8" max="8" width="13.5703125" customWidth="1"/>
    <col min="9" max="9" width="15.7109375" customWidth="1"/>
    <col min="10" max="10" width="14.5703125" bestFit="1" customWidth="1"/>
    <col min="11" max="12" width="13" bestFit="1" customWidth="1"/>
    <col min="13" max="14" width="12.7109375" bestFit="1" customWidth="1"/>
  </cols>
  <sheetData>
    <row r="1" spans="1:10" x14ac:dyDescent="0.25">
      <c r="A1" s="4" t="s">
        <v>0</v>
      </c>
      <c r="B1" s="14">
        <v>325.83</v>
      </c>
      <c r="C1" s="20" t="s">
        <v>15</v>
      </c>
      <c r="D1" s="21" t="s">
        <v>16</v>
      </c>
    </row>
    <row r="2" spans="1:10" x14ac:dyDescent="0.25">
      <c r="A2" s="4" t="s">
        <v>3</v>
      </c>
      <c r="B2" s="5">
        <f>B1*12</f>
        <v>3909.96</v>
      </c>
    </row>
    <row r="3" spans="1:10" x14ac:dyDescent="0.25">
      <c r="A3" s="4" t="s">
        <v>4</v>
      </c>
      <c r="B3" s="6">
        <f>B2*1.21</f>
        <v>4731.0515999999998</v>
      </c>
      <c r="C3" s="3"/>
    </row>
    <row r="4" spans="1:10" x14ac:dyDescent="0.25">
      <c r="A4" s="7" t="s">
        <v>5</v>
      </c>
      <c r="B4" s="8">
        <v>46023</v>
      </c>
      <c r="C4" s="35">
        <f>DATE(YEAR(B4)+3,MONTH(B4),DAY(B4))</f>
        <v>47119</v>
      </c>
    </row>
    <row r="5" spans="1:10" x14ac:dyDescent="0.25">
      <c r="C5" s="3"/>
    </row>
    <row r="6" spans="1:10" ht="45" x14ac:dyDescent="0.25">
      <c r="B6" s="9"/>
      <c r="C6" s="10" t="s">
        <v>6</v>
      </c>
      <c r="D6" s="13" t="s">
        <v>37</v>
      </c>
      <c r="E6" s="13" t="s">
        <v>30</v>
      </c>
      <c r="F6" s="13" t="s">
        <v>31</v>
      </c>
      <c r="G6" s="10" t="s">
        <v>7</v>
      </c>
      <c r="H6" s="13" t="s">
        <v>8</v>
      </c>
      <c r="I6" s="10" t="s">
        <v>9</v>
      </c>
    </row>
    <row r="7" spans="1:10" x14ac:dyDescent="0.25">
      <c r="B7" s="16">
        <v>2026</v>
      </c>
      <c r="C7" s="9">
        <v>10</v>
      </c>
      <c r="D7" s="8">
        <v>46049</v>
      </c>
      <c r="E7" s="11">
        <f>QUOTIENT(G7,12)</f>
        <v>2</v>
      </c>
      <c r="F7" s="11">
        <f>G7-(E7*12)</f>
        <v>11</v>
      </c>
      <c r="G7" s="11">
        <f>DATEDIF(D7,C4,"m")</f>
        <v>35</v>
      </c>
      <c r="H7" s="12">
        <f>$C7*12*$B$1</f>
        <v>39099.599999999999</v>
      </c>
      <c r="I7" s="9"/>
      <c r="J7" s="2"/>
    </row>
    <row r="8" spans="1:10" ht="15.75" thickBot="1" x14ac:dyDescent="0.3">
      <c r="B8" s="57"/>
      <c r="C8" s="53"/>
      <c r="D8" s="54"/>
      <c r="E8" s="54"/>
      <c r="F8" s="54"/>
      <c r="G8" s="54"/>
      <c r="H8" s="55"/>
      <c r="I8" s="55">
        <f>SUM(H7:H7)</f>
        <v>39099.599999999999</v>
      </c>
    </row>
    <row r="9" spans="1:10" x14ac:dyDescent="0.25">
      <c r="B9" s="18">
        <v>2027</v>
      </c>
      <c r="C9" s="48">
        <v>10</v>
      </c>
      <c r="D9" s="70">
        <v>46591</v>
      </c>
      <c r="E9" s="50">
        <f>QUOTIENT(G9,12)</f>
        <v>1</v>
      </c>
      <c r="F9" s="50">
        <f>G9-(E9*12)</f>
        <v>5</v>
      </c>
      <c r="G9" s="50">
        <f>DATEDIF(D9,C4,"m")</f>
        <v>17</v>
      </c>
      <c r="H9" s="51">
        <f>$C9*12*$B$1</f>
        <v>39099.599999999999</v>
      </c>
      <c r="I9" s="51"/>
    </row>
    <row r="10" spans="1:10" ht="15.75" thickBot="1" x14ac:dyDescent="0.3">
      <c r="B10" s="52"/>
      <c r="C10" s="53"/>
      <c r="D10" s="71"/>
      <c r="E10" s="54"/>
      <c r="F10" s="54"/>
      <c r="G10" s="54"/>
      <c r="H10" s="55"/>
      <c r="I10" s="55">
        <f>H9+I8</f>
        <v>78199.199999999997</v>
      </c>
      <c r="J10" s="2"/>
    </row>
    <row r="11" spans="1:10" ht="15.75" thickBot="1" x14ac:dyDescent="0.3">
      <c r="B11" s="58">
        <v>2028</v>
      </c>
      <c r="C11" s="59"/>
      <c r="D11" s="72"/>
      <c r="E11" s="60"/>
      <c r="F11" s="60"/>
      <c r="G11" s="60"/>
      <c r="H11" s="61">
        <f>B1*C7*F7+B1*C9*F9</f>
        <v>52132.799999999996</v>
      </c>
      <c r="I11" s="61">
        <f>H11</f>
        <v>52132.799999999996</v>
      </c>
      <c r="J11" s="2"/>
    </row>
    <row r="12" spans="1:10" x14ac:dyDescent="0.25">
      <c r="B12" s="18" t="s">
        <v>10</v>
      </c>
      <c r="C12" s="26">
        <v>20</v>
      </c>
      <c r="D12" s="1"/>
      <c r="E12" s="1"/>
      <c r="F12" s="38"/>
      <c r="G12" s="2"/>
      <c r="I12" s="38">
        <f>SUM(I8:I11)</f>
        <v>169431.59999999998</v>
      </c>
      <c r="J12" s="2"/>
    </row>
    <row r="18" spans="11:13" ht="30" x14ac:dyDescent="0.25">
      <c r="K18" s="11"/>
      <c r="L18" s="13" t="s">
        <v>11</v>
      </c>
      <c r="M18" s="13" t="s">
        <v>12</v>
      </c>
    </row>
    <row r="19" spans="11:13" x14ac:dyDescent="0.25">
      <c r="K19" s="25">
        <v>2026</v>
      </c>
      <c r="L19" s="12">
        <f>I8</f>
        <v>39099.599999999999</v>
      </c>
      <c r="M19" s="12">
        <f t="shared" ref="M19:M22" si="0">ROUND(L19*1.21,2)</f>
        <v>47310.52</v>
      </c>
    </row>
    <row r="20" spans="11:13" x14ac:dyDescent="0.25">
      <c r="K20" s="25">
        <v>2027</v>
      </c>
      <c r="L20" s="12">
        <f>I10</f>
        <v>78199.199999999997</v>
      </c>
      <c r="M20" s="12">
        <f t="shared" si="0"/>
        <v>94621.03</v>
      </c>
    </row>
    <row r="21" spans="11:13" x14ac:dyDescent="0.25">
      <c r="K21" s="25">
        <v>2028</v>
      </c>
      <c r="L21" s="12">
        <f>I11</f>
        <v>52132.799999999996</v>
      </c>
      <c r="M21" s="12">
        <f t="shared" si="0"/>
        <v>63080.69</v>
      </c>
    </row>
    <row r="22" spans="11:13" x14ac:dyDescent="0.25">
      <c r="K22" s="25" t="s">
        <v>10</v>
      </c>
      <c r="L22" s="12">
        <f>SUM(L19:L21)</f>
        <v>169431.59999999998</v>
      </c>
      <c r="M22" s="12">
        <f t="shared" si="0"/>
        <v>205012.24</v>
      </c>
    </row>
  </sheetData>
  <protectedRanges>
    <protectedRange algorithmName="SHA-512" hashValue="hoVQdKFeFKMgE0T48qQ2S6net6nQl8ycV+AxD4Vcg07ZGhg00RMUavBPqw1JLoazOOtXJSImzGY/ZKfa74X1kg==" saltValue="U1QMlaBrsUlj1RTnY4ehiQ==" spinCount="100000" sqref="B1" name="Rango1"/>
  </protectedRange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28F49-0065-44FF-9ED0-A9E3BBBFB6F3}">
  <dimension ref="A1:M22"/>
  <sheetViews>
    <sheetView workbookViewId="0">
      <selection activeCell="C1" sqref="C1"/>
    </sheetView>
  </sheetViews>
  <sheetFormatPr baseColWidth="10" defaultColWidth="11.42578125" defaultRowHeight="15" x14ac:dyDescent="0.25"/>
  <cols>
    <col min="1" max="1" width="26.7109375" bestFit="1" customWidth="1"/>
    <col min="2" max="2" width="10.7109375" bestFit="1" customWidth="1"/>
    <col min="3" max="3" width="15" bestFit="1" customWidth="1"/>
    <col min="4" max="4" width="12.85546875" customWidth="1"/>
    <col min="8" max="8" width="12.85546875" bestFit="1" customWidth="1"/>
    <col min="9" max="9" width="13.85546875" customWidth="1"/>
    <col min="10" max="10" width="13" bestFit="1" customWidth="1"/>
    <col min="12" max="12" width="12.7109375" bestFit="1" customWidth="1"/>
    <col min="13" max="14" width="13" customWidth="1"/>
  </cols>
  <sheetData>
    <row r="1" spans="1:10" x14ac:dyDescent="0.25">
      <c r="A1" s="4" t="s">
        <v>0</v>
      </c>
      <c r="B1" s="14">
        <v>303.43</v>
      </c>
      <c r="C1" s="20" t="s">
        <v>19</v>
      </c>
      <c r="D1" s="21" t="s">
        <v>20</v>
      </c>
      <c r="E1" s="39"/>
      <c r="F1" s="39"/>
    </row>
    <row r="2" spans="1:10" x14ac:dyDescent="0.25">
      <c r="A2" s="4" t="s">
        <v>3</v>
      </c>
      <c r="B2" s="5">
        <f>B1*12</f>
        <v>3641.16</v>
      </c>
    </row>
    <row r="3" spans="1:10" x14ac:dyDescent="0.25">
      <c r="A3" s="4" t="s">
        <v>4</v>
      </c>
      <c r="B3" s="6">
        <f>B2*1.21</f>
        <v>4405.8035999999993</v>
      </c>
      <c r="C3" s="3"/>
    </row>
    <row r="4" spans="1:10" x14ac:dyDescent="0.25">
      <c r="A4" s="7" t="s">
        <v>5</v>
      </c>
      <c r="B4" s="8">
        <v>46023</v>
      </c>
      <c r="C4" s="35">
        <f>DATE(YEAR(B4)+3,MONTH(B4),DAY(B4))</f>
        <v>47119</v>
      </c>
    </row>
    <row r="5" spans="1:10" x14ac:dyDescent="0.25">
      <c r="C5" s="3"/>
    </row>
    <row r="6" spans="1:10" ht="45" x14ac:dyDescent="0.25">
      <c r="B6" s="9"/>
      <c r="C6" s="10" t="s">
        <v>6</v>
      </c>
      <c r="D6" s="13" t="s">
        <v>37</v>
      </c>
      <c r="E6" s="13" t="s">
        <v>30</v>
      </c>
      <c r="F6" s="13" t="s">
        <v>31</v>
      </c>
      <c r="G6" s="10" t="s">
        <v>7</v>
      </c>
      <c r="H6" s="13" t="s">
        <v>8</v>
      </c>
      <c r="I6" s="10" t="s">
        <v>9</v>
      </c>
    </row>
    <row r="7" spans="1:10" x14ac:dyDescent="0.25">
      <c r="B7" s="105">
        <v>2026</v>
      </c>
      <c r="C7" s="9">
        <v>10</v>
      </c>
      <c r="D7" s="8">
        <v>46049</v>
      </c>
      <c r="E7" s="50">
        <f>QUOTIENT(G7,12)</f>
        <v>2</v>
      </c>
      <c r="F7" s="50">
        <f>G7-(E7*12)</f>
        <v>11</v>
      </c>
      <c r="G7" s="11">
        <f>DATEDIF(D7,C4,"m")</f>
        <v>35</v>
      </c>
      <c r="H7" s="12">
        <f>C7*B1*12</f>
        <v>36411.600000000006</v>
      </c>
      <c r="I7" s="12"/>
      <c r="J7" s="2"/>
    </row>
    <row r="8" spans="1:10" x14ac:dyDescent="0.25">
      <c r="B8" s="106"/>
      <c r="C8" s="48">
        <v>7</v>
      </c>
      <c r="D8" s="49">
        <v>46319</v>
      </c>
      <c r="E8" s="50">
        <f>QUOTIENT(G8,12)</f>
        <v>2</v>
      </c>
      <c r="F8" s="50">
        <f>G8-(E8*12)</f>
        <v>2</v>
      </c>
      <c r="G8" s="50">
        <f>DATEDIF(D8,C4,"m")</f>
        <v>26</v>
      </c>
      <c r="H8" s="51">
        <f>C8*12*B1</f>
        <v>25488.12</v>
      </c>
      <c r="I8" s="51"/>
      <c r="J8" s="2"/>
    </row>
    <row r="9" spans="1:10" ht="15.75" thickBot="1" x14ac:dyDescent="0.3">
      <c r="B9" s="57"/>
      <c r="C9" s="87"/>
      <c r="D9" s="90"/>
      <c r="E9" s="89"/>
      <c r="F9" s="89"/>
      <c r="G9" s="89"/>
      <c r="H9" s="88"/>
      <c r="I9" s="88">
        <f>H7+H8</f>
        <v>61899.72</v>
      </c>
      <c r="J9" s="2"/>
    </row>
    <row r="10" spans="1:10" x14ac:dyDescent="0.25">
      <c r="B10" s="18">
        <v>2027</v>
      </c>
      <c r="C10" s="48">
        <v>18</v>
      </c>
      <c r="D10" s="49">
        <v>46480</v>
      </c>
      <c r="E10" s="50">
        <f t="shared" ref="E10" si="0">QUOTIENT(G10,12)</f>
        <v>1</v>
      </c>
      <c r="F10" s="50">
        <f t="shared" ref="F10" si="1">G10-(E10*12)</f>
        <v>8</v>
      </c>
      <c r="G10" s="50">
        <f>DATEDIF(D10,C4,"m")</f>
        <v>20</v>
      </c>
      <c r="H10" s="51">
        <f>C10*B1*12</f>
        <v>65540.88</v>
      </c>
      <c r="I10" s="48"/>
      <c r="J10" s="2"/>
    </row>
    <row r="11" spans="1:10" ht="15.75" thickBot="1" x14ac:dyDescent="0.3">
      <c r="B11" s="52"/>
      <c r="C11" s="53"/>
      <c r="D11" s="53"/>
      <c r="E11" s="54"/>
      <c r="F11" s="54"/>
      <c r="G11" s="54"/>
      <c r="H11" s="55"/>
      <c r="I11" s="55">
        <f>H10+H8+H7</f>
        <v>127440.6</v>
      </c>
    </row>
    <row r="12" spans="1:10" ht="15.75" thickBot="1" x14ac:dyDescent="0.3">
      <c r="B12" s="58">
        <v>2028</v>
      </c>
      <c r="C12" s="59"/>
      <c r="D12" s="59"/>
      <c r="E12" s="60"/>
      <c r="F12" s="60"/>
      <c r="G12" s="60"/>
      <c r="H12" s="61"/>
      <c r="I12" s="61">
        <f>C7*B1*F7+C8*B1*F8+C10*B1*F10</f>
        <v>81319.240000000005</v>
      </c>
    </row>
    <row r="13" spans="1:10" x14ac:dyDescent="0.25">
      <c r="B13" s="18" t="s">
        <v>10</v>
      </c>
      <c r="C13">
        <v>35</v>
      </c>
      <c r="D13" s="1"/>
      <c r="E13" s="1"/>
      <c r="F13" s="1"/>
      <c r="G13" s="1"/>
      <c r="H13" s="38"/>
      <c r="I13" s="38">
        <f>SUM(I7:I12)</f>
        <v>270659.56</v>
      </c>
      <c r="J13" s="2"/>
    </row>
    <row r="18" spans="11:13" ht="30" x14ac:dyDescent="0.25">
      <c r="K18" s="11"/>
      <c r="L18" s="13" t="s">
        <v>11</v>
      </c>
      <c r="M18" s="13" t="s">
        <v>12</v>
      </c>
    </row>
    <row r="19" spans="11:13" x14ac:dyDescent="0.25">
      <c r="K19" s="25">
        <v>2026</v>
      </c>
      <c r="L19" s="12">
        <f>I9</f>
        <v>61899.72</v>
      </c>
      <c r="M19" s="12">
        <f>ROUND(L19*1.21,2)</f>
        <v>74898.66</v>
      </c>
    </row>
    <row r="20" spans="11:13" x14ac:dyDescent="0.25">
      <c r="K20" s="25">
        <v>2027</v>
      </c>
      <c r="L20" s="12">
        <f>I11</f>
        <v>127440.6</v>
      </c>
      <c r="M20" s="12">
        <f>ROUND(L20*1.21,2)</f>
        <v>154203.13</v>
      </c>
    </row>
    <row r="21" spans="11:13" x14ac:dyDescent="0.25">
      <c r="K21" s="25">
        <v>2028</v>
      </c>
      <c r="L21" s="12">
        <f>I12</f>
        <v>81319.240000000005</v>
      </c>
      <c r="M21" s="12">
        <f>ROUND(L21*1.21,2)</f>
        <v>98396.28</v>
      </c>
    </row>
    <row r="22" spans="11:13" x14ac:dyDescent="0.25">
      <c r="K22" s="25" t="s">
        <v>10</v>
      </c>
      <c r="L22" s="12">
        <f>SUM(L19:L21)</f>
        <v>270659.56</v>
      </c>
      <c r="M22" s="12">
        <f t="shared" ref="M22" si="2">ROUND(L22*1.21,2)</f>
        <v>327498.07</v>
      </c>
    </row>
  </sheetData>
  <protectedRanges>
    <protectedRange algorithmName="SHA-512" hashValue="hoVQdKFeFKMgE0T48qQ2S6net6nQl8ycV+AxD4Vcg07ZGhg00RMUavBPqw1JLoazOOtXJSImzGY/ZKfa74X1kg==" saltValue="U1QMlaBrsUlj1RTnY4ehiQ==" spinCount="100000" sqref="B1" name="Rango1"/>
  </protectedRanges>
  <mergeCells count="1">
    <mergeCell ref="B7:B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239B-7C9E-4860-9F22-8B6AF5FB9197}">
  <dimension ref="A1:M20"/>
  <sheetViews>
    <sheetView workbookViewId="0">
      <selection activeCell="C1" sqref="C1"/>
    </sheetView>
  </sheetViews>
  <sheetFormatPr baseColWidth="10" defaultRowHeight="15" x14ac:dyDescent="0.25"/>
  <cols>
    <col min="1" max="1" width="26.5703125" customWidth="1"/>
    <col min="3" max="3" width="15" bestFit="1" customWidth="1"/>
    <col min="4" max="4" width="11.42578125" customWidth="1"/>
    <col min="8" max="8" width="12" bestFit="1" customWidth="1"/>
    <col min="9" max="9" width="12.85546875" customWidth="1"/>
    <col min="10" max="10" width="8.140625" customWidth="1"/>
    <col min="11" max="12" width="12" bestFit="1" customWidth="1"/>
    <col min="13" max="13" width="12.85546875" customWidth="1"/>
    <col min="14" max="14" width="13.28515625" customWidth="1"/>
  </cols>
  <sheetData>
    <row r="1" spans="1:13" x14ac:dyDescent="0.25">
      <c r="A1" s="4" t="s">
        <v>0</v>
      </c>
      <c r="B1" s="14">
        <v>425.65</v>
      </c>
      <c r="C1" s="20" t="s">
        <v>36</v>
      </c>
      <c r="D1" s="21" t="s">
        <v>33</v>
      </c>
      <c r="E1" s="39"/>
      <c r="F1" s="39"/>
    </row>
    <row r="2" spans="1:13" ht="12" customHeight="1" x14ac:dyDescent="0.25">
      <c r="A2" s="4" t="s">
        <v>3</v>
      </c>
      <c r="B2" s="5">
        <f>B1*12</f>
        <v>5107.7999999999993</v>
      </c>
    </row>
    <row r="3" spans="1:13" ht="12" customHeight="1" x14ac:dyDescent="0.25">
      <c r="A3" s="4" t="s">
        <v>4</v>
      </c>
      <c r="B3" s="6">
        <f>B2*1.21</f>
        <v>6180.4379999999992</v>
      </c>
      <c r="C3" s="3"/>
    </row>
    <row r="4" spans="1:13" x14ac:dyDescent="0.25">
      <c r="A4" s="7" t="s">
        <v>5</v>
      </c>
      <c r="B4" s="8">
        <v>46023</v>
      </c>
      <c r="C4" s="35">
        <f>DATE(YEAR(B4)+3,MONTH(B4),DAY(B4))</f>
        <v>47119</v>
      </c>
    </row>
    <row r="5" spans="1:13" x14ac:dyDescent="0.25">
      <c r="C5" s="3"/>
    </row>
    <row r="6" spans="1:13" ht="45" x14ac:dyDescent="0.25">
      <c r="B6" s="9"/>
      <c r="C6" s="10" t="s">
        <v>6</v>
      </c>
      <c r="D6" s="13" t="s">
        <v>37</v>
      </c>
      <c r="E6" s="13" t="s">
        <v>30</v>
      </c>
      <c r="F6" s="13" t="s">
        <v>31</v>
      </c>
      <c r="G6" s="10" t="s">
        <v>7</v>
      </c>
      <c r="H6" s="13" t="s">
        <v>8</v>
      </c>
      <c r="I6" s="10" t="s">
        <v>9</v>
      </c>
    </row>
    <row r="7" spans="1:13" x14ac:dyDescent="0.25">
      <c r="B7" s="16">
        <v>2026</v>
      </c>
      <c r="C7" s="9">
        <v>2</v>
      </c>
      <c r="D7" s="8">
        <v>46049</v>
      </c>
      <c r="E7" s="11">
        <f>QUOTIENT(G7,12)</f>
        <v>2</v>
      </c>
      <c r="F7" s="11">
        <f>G7-(E7*12)</f>
        <v>11</v>
      </c>
      <c r="G7" s="11">
        <f>DATEDIF(D7,C4,"m")</f>
        <v>35</v>
      </c>
      <c r="H7" s="12">
        <f>B1*12*C7</f>
        <v>10215.599999999999</v>
      </c>
      <c r="I7" s="9"/>
      <c r="J7" s="22"/>
      <c r="K7" s="2"/>
    </row>
    <row r="8" spans="1:13" ht="15.75" thickBot="1" x14ac:dyDescent="0.3">
      <c r="B8" s="57"/>
      <c r="C8" s="53"/>
      <c r="D8" s="54"/>
      <c r="E8" s="54"/>
      <c r="F8" s="54"/>
      <c r="G8" s="54"/>
      <c r="H8" s="55">
        <f t="shared" ref="H8" si="0">$C8*$G8*$B$1</f>
        <v>0</v>
      </c>
      <c r="I8" s="55">
        <f>H7</f>
        <v>10215.599999999999</v>
      </c>
    </row>
    <row r="9" spans="1:13" ht="15.75" thickBot="1" x14ac:dyDescent="0.3">
      <c r="B9" s="58">
        <v>2027</v>
      </c>
      <c r="C9" s="53"/>
      <c r="D9" s="53"/>
      <c r="E9" s="53"/>
      <c r="F9" s="53"/>
      <c r="G9" s="53"/>
      <c r="H9" s="53"/>
      <c r="I9" s="55">
        <f>H7</f>
        <v>10215.599999999999</v>
      </c>
    </row>
    <row r="10" spans="1:13" ht="15.75" thickBot="1" x14ac:dyDescent="0.3">
      <c r="B10" s="58">
        <v>2028</v>
      </c>
      <c r="C10" s="59"/>
      <c r="D10" s="59"/>
      <c r="E10" s="60"/>
      <c r="F10" s="60"/>
      <c r="G10" s="60"/>
      <c r="H10" s="61"/>
      <c r="I10" s="61">
        <f>C7*B1*F7</f>
        <v>9364.2999999999993</v>
      </c>
      <c r="J10" s="22"/>
    </row>
    <row r="11" spans="1:13" x14ac:dyDescent="0.25">
      <c r="B11" s="18" t="s">
        <v>10</v>
      </c>
      <c r="C11">
        <v>2</v>
      </c>
      <c r="D11" s="1"/>
      <c r="E11" s="1"/>
      <c r="F11" s="1"/>
      <c r="G11" s="1"/>
      <c r="H11" s="38"/>
      <c r="I11" s="38">
        <f>SUM(I8:I10)</f>
        <v>29795.499999999996</v>
      </c>
      <c r="J11" s="22"/>
    </row>
    <row r="13" spans="1:13" x14ac:dyDescent="0.25">
      <c r="J13" s="22"/>
    </row>
    <row r="16" spans="1:13" ht="30" x14ac:dyDescent="0.25">
      <c r="K16" s="11"/>
      <c r="L16" s="13" t="s">
        <v>11</v>
      </c>
      <c r="M16" s="13" t="s">
        <v>12</v>
      </c>
    </row>
    <row r="17" spans="11:13" x14ac:dyDescent="0.25">
      <c r="K17" s="25">
        <v>2026</v>
      </c>
      <c r="L17" s="12">
        <f>I8</f>
        <v>10215.599999999999</v>
      </c>
      <c r="M17" s="12">
        <f>ROUND(L17*1.21,2)</f>
        <v>12360.88</v>
      </c>
    </row>
    <row r="18" spans="11:13" x14ac:dyDescent="0.25">
      <c r="K18" s="25">
        <v>2027</v>
      </c>
      <c r="L18" s="12">
        <f>I9</f>
        <v>10215.599999999999</v>
      </c>
      <c r="M18" s="12">
        <f t="shared" ref="M18:M20" si="1">ROUND(L18*1.21,2)</f>
        <v>12360.88</v>
      </c>
    </row>
    <row r="19" spans="11:13" x14ac:dyDescent="0.25">
      <c r="K19" s="25">
        <v>2028</v>
      </c>
      <c r="L19" s="12">
        <f>I10</f>
        <v>9364.2999999999993</v>
      </c>
      <c r="M19" s="12">
        <f t="shared" si="1"/>
        <v>11330.8</v>
      </c>
    </row>
    <row r="20" spans="11:13" x14ac:dyDescent="0.25">
      <c r="K20" s="25" t="s">
        <v>10</v>
      </c>
      <c r="L20" s="12">
        <f>SUM(L17:L19)</f>
        <v>29795.499999999996</v>
      </c>
      <c r="M20" s="12">
        <f t="shared" si="1"/>
        <v>36052.559999999998</v>
      </c>
    </row>
  </sheetData>
  <protectedRanges>
    <protectedRange algorithmName="SHA-512" hashValue="hoVQdKFeFKMgE0T48qQ2S6net6nQl8ycV+AxD4Vcg07ZGhg00RMUavBPqw1JLoazOOtXJSImzGY/ZKfa74X1kg==" saltValue="U1QMlaBrsUlj1RTnY4ehiQ==" spinCount="100000" sqref="B1" name="Rango1"/>
  </protectedRange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0C24-1428-4480-8AEF-63A8BC4B730C}">
  <dimension ref="A1:M23"/>
  <sheetViews>
    <sheetView workbookViewId="0">
      <selection activeCell="C1" sqref="C1"/>
    </sheetView>
  </sheetViews>
  <sheetFormatPr baseColWidth="10" defaultColWidth="11.42578125" defaultRowHeight="15" x14ac:dyDescent="0.25"/>
  <cols>
    <col min="1" max="1" width="26.85546875" customWidth="1"/>
    <col min="3" max="3" width="15" bestFit="1" customWidth="1"/>
    <col min="4" max="4" width="12" customWidth="1"/>
    <col min="8" max="10" width="13" bestFit="1" customWidth="1"/>
    <col min="12" max="14" width="13" bestFit="1" customWidth="1"/>
  </cols>
  <sheetData>
    <row r="1" spans="1:10" x14ac:dyDescent="0.25">
      <c r="A1" s="4" t="s">
        <v>0</v>
      </c>
      <c r="B1" s="14">
        <v>303.43</v>
      </c>
      <c r="C1" s="20" t="s">
        <v>21</v>
      </c>
      <c r="D1" s="21" t="s">
        <v>22</v>
      </c>
      <c r="E1" s="39"/>
      <c r="F1" s="39"/>
    </row>
    <row r="2" spans="1:10" x14ac:dyDescent="0.25">
      <c r="A2" s="4" t="s">
        <v>3</v>
      </c>
      <c r="B2" s="5">
        <f>B1*12</f>
        <v>3641.16</v>
      </c>
    </row>
    <row r="3" spans="1:10" x14ac:dyDescent="0.25">
      <c r="A3" s="4" t="s">
        <v>4</v>
      </c>
      <c r="B3" s="6">
        <f>B2*1.21</f>
        <v>4405.8035999999993</v>
      </c>
      <c r="C3" s="3"/>
    </row>
    <row r="4" spans="1:10" x14ac:dyDescent="0.25">
      <c r="A4" s="7" t="s">
        <v>5</v>
      </c>
      <c r="B4" s="8">
        <v>46023</v>
      </c>
      <c r="C4" s="35">
        <f>DATE(YEAR(B4)+3,MONTH(B4),DAY(B4))</f>
        <v>47119</v>
      </c>
    </row>
    <row r="5" spans="1:10" x14ac:dyDescent="0.25">
      <c r="C5" s="3"/>
    </row>
    <row r="6" spans="1:10" ht="45" x14ac:dyDescent="0.25">
      <c r="B6" s="9"/>
      <c r="C6" s="10" t="s">
        <v>6</v>
      </c>
      <c r="D6" s="13" t="s">
        <v>37</v>
      </c>
      <c r="E6" s="13" t="s">
        <v>30</v>
      </c>
      <c r="F6" s="13" t="s">
        <v>31</v>
      </c>
      <c r="G6" s="10" t="s">
        <v>7</v>
      </c>
      <c r="H6" s="13" t="s">
        <v>8</v>
      </c>
      <c r="I6" s="10" t="s">
        <v>9</v>
      </c>
    </row>
    <row r="7" spans="1:10" x14ac:dyDescent="0.25">
      <c r="B7" s="105">
        <v>2026</v>
      </c>
      <c r="C7" s="9">
        <v>23</v>
      </c>
      <c r="D7" s="8">
        <v>46049</v>
      </c>
      <c r="E7" s="11">
        <f>QUOTIENT(G7,12)</f>
        <v>2</v>
      </c>
      <c r="F7" s="11">
        <f>G7-(E7*12)</f>
        <v>11</v>
      </c>
      <c r="G7" s="96">
        <f>DATEDIF(D7,C4,"m")</f>
        <v>35</v>
      </c>
      <c r="H7" s="12">
        <f>B1*12*C7</f>
        <v>83746.679999999993</v>
      </c>
      <c r="I7" s="73"/>
      <c r="J7" s="73"/>
    </row>
    <row r="8" spans="1:10" x14ac:dyDescent="0.25">
      <c r="B8" s="107"/>
      <c r="C8" s="48">
        <v>3</v>
      </c>
      <c r="D8" s="74">
        <v>46319</v>
      </c>
      <c r="E8" s="50">
        <f>QUOTIENT(G8,12)</f>
        <v>2</v>
      </c>
      <c r="F8" s="50">
        <f>G8-(E8*12)</f>
        <v>2</v>
      </c>
      <c r="G8" s="75">
        <f>DATEDIF(D8,C4,"m")</f>
        <v>26</v>
      </c>
      <c r="H8" s="51">
        <f>B1*12*C8</f>
        <v>10923.48</v>
      </c>
      <c r="I8" s="76"/>
      <c r="J8" s="73"/>
    </row>
    <row r="9" spans="1:10" ht="15.75" thickBot="1" x14ac:dyDescent="0.3">
      <c r="B9" s="108"/>
      <c r="C9" s="53"/>
      <c r="D9" s="78"/>
      <c r="E9" s="53"/>
      <c r="F9" s="53"/>
      <c r="G9" s="77"/>
      <c r="H9" s="55"/>
      <c r="I9" s="55">
        <f>H7+H8</f>
        <v>94670.159999999989</v>
      </c>
      <c r="J9" s="73"/>
    </row>
    <row r="10" spans="1:10" x14ac:dyDescent="0.25">
      <c r="B10" s="18">
        <v>2027</v>
      </c>
      <c r="C10" s="48">
        <v>20</v>
      </c>
      <c r="D10" s="74">
        <v>46591</v>
      </c>
      <c r="E10" s="50">
        <f>QUOTIENT(G10,12)</f>
        <v>1</v>
      </c>
      <c r="F10" s="50">
        <f>G10-(E10*12)</f>
        <v>5</v>
      </c>
      <c r="G10" s="50">
        <f>DATEDIF(D10,C4,"m")</f>
        <v>17</v>
      </c>
      <c r="H10" s="51">
        <f>C10*B1*12</f>
        <v>72823.200000000012</v>
      </c>
      <c r="I10" s="76"/>
      <c r="J10" s="73"/>
    </row>
    <row r="11" spans="1:10" ht="15.75" thickBot="1" x14ac:dyDescent="0.3">
      <c r="B11" s="52"/>
      <c r="C11" s="53"/>
      <c r="D11" s="78"/>
      <c r="E11" s="53"/>
      <c r="F11" s="53"/>
      <c r="G11" s="77"/>
      <c r="H11" s="55"/>
      <c r="I11" s="55">
        <f>H10+I9</f>
        <v>167493.35999999999</v>
      </c>
      <c r="J11" s="73"/>
    </row>
    <row r="12" spans="1:10" ht="15.75" thickBot="1" x14ac:dyDescent="0.3">
      <c r="B12" s="58">
        <v>2028</v>
      </c>
      <c r="C12" s="59"/>
      <c r="D12" s="79"/>
      <c r="E12" s="59"/>
      <c r="F12" s="59"/>
      <c r="G12" s="80"/>
      <c r="H12" s="61"/>
      <c r="I12" s="61">
        <f>C7*B1*F7+C8*B1*F8+C10*B1*F10</f>
        <v>108931.37000000001</v>
      </c>
    </row>
    <row r="13" spans="1:10" x14ac:dyDescent="0.25">
      <c r="B13" s="18" t="s">
        <v>10</v>
      </c>
      <c r="C13">
        <v>46</v>
      </c>
      <c r="D13" s="1"/>
      <c r="E13" s="1"/>
      <c r="F13" s="1"/>
      <c r="G13" s="1"/>
      <c r="H13" s="38"/>
      <c r="I13" s="38">
        <f>SUM(I7:I12)</f>
        <v>371094.88999999996</v>
      </c>
    </row>
    <row r="14" spans="1:10" x14ac:dyDescent="0.25">
      <c r="J14" s="2"/>
    </row>
    <row r="16" spans="1:10" x14ac:dyDescent="0.25">
      <c r="J16" s="22"/>
    </row>
    <row r="19" spans="11:13" ht="30" x14ac:dyDescent="0.25">
      <c r="K19" s="11"/>
      <c r="L19" s="13" t="s">
        <v>11</v>
      </c>
      <c r="M19" s="13" t="s">
        <v>12</v>
      </c>
    </row>
    <row r="20" spans="11:13" x14ac:dyDescent="0.25">
      <c r="K20" s="25">
        <v>2026</v>
      </c>
      <c r="L20" s="12">
        <f>I9</f>
        <v>94670.159999999989</v>
      </c>
      <c r="M20" s="12">
        <f t="shared" ref="M20:M23" si="0">ROUND(L20*1.21,2)</f>
        <v>114550.89</v>
      </c>
    </row>
    <row r="21" spans="11:13" x14ac:dyDescent="0.25">
      <c r="K21" s="25">
        <v>2027</v>
      </c>
      <c r="L21" s="12">
        <f>I11</f>
        <v>167493.35999999999</v>
      </c>
      <c r="M21" s="12">
        <f t="shared" si="0"/>
        <v>202666.97</v>
      </c>
    </row>
    <row r="22" spans="11:13" x14ac:dyDescent="0.25">
      <c r="K22" s="25">
        <v>2028</v>
      </c>
      <c r="L22" s="12">
        <f>I12</f>
        <v>108931.37000000001</v>
      </c>
      <c r="M22" s="12">
        <f t="shared" ref="M22" si="1">ROUND(L22*1.21,2)</f>
        <v>131806.96</v>
      </c>
    </row>
    <row r="23" spans="11:13" x14ac:dyDescent="0.25">
      <c r="K23" s="25" t="s">
        <v>10</v>
      </c>
      <c r="L23" s="12">
        <f>SUM(L20:L22)</f>
        <v>371094.88999999996</v>
      </c>
      <c r="M23" s="12">
        <f t="shared" si="0"/>
        <v>449024.82</v>
      </c>
    </row>
  </sheetData>
  <protectedRanges>
    <protectedRange algorithmName="SHA-512" hashValue="hoVQdKFeFKMgE0T48qQ2S6net6nQl8ycV+AxD4Vcg07ZGhg00RMUavBPqw1JLoazOOtXJSImzGY/ZKfa74X1kg==" saltValue="U1QMlaBrsUlj1RTnY4ehiQ==" spinCount="100000" sqref="B1" name="Rango1"/>
  </protectedRanges>
  <mergeCells count="1">
    <mergeCell ref="B7:B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FD13A-2034-4619-BF36-314DF2199625}">
  <dimension ref="A1:M20"/>
  <sheetViews>
    <sheetView workbookViewId="0">
      <selection activeCell="D19" sqref="D19"/>
    </sheetView>
  </sheetViews>
  <sheetFormatPr baseColWidth="10" defaultColWidth="11.42578125" defaultRowHeight="15" x14ac:dyDescent="0.25"/>
  <cols>
    <col min="1" max="1" width="26.5703125" customWidth="1"/>
    <col min="2" max="2" width="11.140625" bestFit="1" customWidth="1"/>
    <col min="3" max="3" width="15" bestFit="1" customWidth="1"/>
    <col min="6" max="7" width="12" bestFit="1" customWidth="1"/>
    <col min="8" max="8" width="19.7109375" customWidth="1"/>
    <col min="9" max="9" width="15.7109375" customWidth="1"/>
    <col min="10" max="10" width="15.85546875" customWidth="1"/>
    <col min="11" max="11" width="11.7109375" customWidth="1"/>
    <col min="12" max="14" width="12" bestFit="1" customWidth="1"/>
  </cols>
  <sheetData>
    <row r="1" spans="1:13" x14ac:dyDescent="0.25">
      <c r="A1" s="4" t="s">
        <v>0</v>
      </c>
      <c r="B1" s="14">
        <v>553.98</v>
      </c>
      <c r="C1" s="20" t="s">
        <v>23</v>
      </c>
      <c r="D1" s="21" t="s">
        <v>24</v>
      </c>
    </row>
    <row r="2" spans="1:13" x14ac:dyDescent="0.25">
      <c r="A2" s="4" t="s">
        <v>3</v>
      </c>
      <c r="B2" s="5">
        <f>B1*12</f>
        <v>6647.76</v>
      </c>
    </row>
    <row r="3" spans="1:13" x14ac:dyDescent="0.25">
      <c r="A3" s="4" t="s">
        <v>4</v>
      </c>
      <c r="B3" s="6">
        <f>B2*1.21</f>
        <v>8043.7896000000001</v>
      </c>
      <c r="C3" s="3"/>
    </row>
    <row r="4" spans="1:13" x14ac:dyDescent="0.25">
      <c r="A4" s="7" t="s">
        <v>5</v>
      </c>
      <c r="B4" s="8">
        <v>46023</v>
      </c>
      <c r="C4" s="35">
        <f>DATE(YEAR(B4)+3,MONTH(B4),DAY(B4))</f>
        <v>47119</v>
      </c>
    </row>
    <row r="5" spans="1:13" x14ac:dyDescent="0.25">
      <c r="C5" s="3"/>
    </row>
    <row r="6" spans="1:13" ht="45" x14ac:dyDescent="0.25">
      <c r="B6" s="9"/>
      <c r="C6" s="10" t="s">
        <v>6</v>
      </c>
      <c r="D6" s="13" t="s">
        <v>37</v>
      </c>
      <c r="E6" s="13" t="s">
        <v>30</v>
      </c>
      <c r="F6" s="13" t="s">
        <v>31</v>
      </c>
      <c r="G6" s="10" t="s">
        <v>7</v>
      </c>
      <c r="H6" s="13" t="s">
        <v>8</v>
      </c>
      <c r="I6" s="10" t="s">
        <v>9</v>
      </c>
    </row>
    <row r="7" spans="1:13" x14ac:dyDescent="0.25">
      <c r="B7" s="18">
        <v>2026</v>
      </c>
      <c r="C7" s="48">
        <v>2</v>
      </c>
      <c r="D7" s="49">
        <v>46049</v>
      </c>
      <c r="E7" s="50">
        <f>QUOTIENT(G7,12)</f>
        <v>2</v>
      </c>
      <c r="F7" s="50">
        <f>G7-(E7*12)</f>
        <v>11</v>
      </c>
      <c r="G7" s="50">
        <f>DATEDIF(D7,C4,"m")</f>
        <v>35</v>
      </c>
      <c r="H7" s="51">
        <f>$C7*12*$B$1</f>
        <v>13295.52</v>
      </c>
      <c r="I7" s="48"/>
    </row>
    <row r="8" spans="1:13" ht="15.75" thickBot="1" x14ac:dyDescent="0.3">
      <c r="B8" s="52"/>
      <c r="C8" s="53"/>
      <c r="D8" s="56"/>
      <c r="E8" s="54"/>
      <c r="F8" s="54"/>
      <c r="G8" s="54"/>
      <c r="H8" s="55"/>
      <c r="I8" s="55">
        <f>H7</f>
        <v>13295.52</v>
      </c>
      <c r="J8" s="2"/>
    </row>
    <row r="9" spans="1:13" ht="15.75" thickBot="1" x14ac:dyDescent="0.3">
      <c r="B9" s="58">
        <v>2027</v>
      </c>
      <c r="C9" s="59"/>
      <c r="D9" s="66"/>
      <c r="E9" s="60"/>
      <c r="F9" s="60"/>
      <c r="G9" s="60"/>
      <c r="H9" s="61"/>
      <c r="I9" s="61">
        <f>H7</f>
        <v>13295.52</v>
      </c>
    </row>
    <row r="10" spans="1:13" ht="15.75" thickBot="1" x14ac:dyDescent="0.3">
      <c r="B10" s="58">
        <v>2028</v>
      </c>
      <c r="C10" s="59"/>
      <c r="D10" s="65"/>
      <c r="E10" s="60"/>
      <c r="F10" s="60"/>
      <c r="G10" s="60"/>
      <c r="H10" s="61"/>
      <c r="I10" s="61">
        <f>C7*B1*F7</f>
        <v>12187.560000000001</v>
      </c>
      <c r="J10" s="22"/>
    </row>
    <row r="11" spans="1:13" x14ac:dyDescent="0.25">
      <c r="B11" s="18" t="s">
        <v>10</v>
      </c>
      <c r="C11">
        <v>2</v>
      </c>
      <c r="D11" s="1"/>
      <c r="E11" s="1"/>
      <c r="F11" s="38"/>
      <c r="G11" s="2"/>
      <c r="I11" s="38">
        <f>SUM(I7:I10)</f>
        <v>38778.600000000006</v>
      </c>
      <c r="J11" s="22"/>
    </row>
    <row r="13" spans="1:13" x14ac:dyDescent="0.25">
      <c r="J13" s="22"/>
    </row>
    <row r="16" spans="1:13" ht="30" x14ac:dyDescent="0.25">
      <c r="K16" s="11"/>
      <c r="L16" s="13" t="s">
        <v>11</v>
      </c>
      <c r="M16" s="13" t="s">
        <v>12</v>
      </c>
    </row>
    <row r="17" spans="11:13" x14ac:dyDescent="0.25">
      <c r="K17" s="25">
        <v>2026</v>
      </c>
      <c r="L17" s="12">
        <f>I8</f>
        <v>13295.52</v>
      </c>
      <c r="M17" s="12">
        <f>L17*1.21</f>
        <v>16087.5792</v>
      </c>
    </row>
    <row r="18" spans="11:13" x14ac:dyDescent="0.25">
      <c r="K18" s="25">
        <v>2027</v>
      </c>
      <c r="L18" s="12">
        <f>I9</f>
        <v>13295.52</v>
      </c>
      <c r="M18" s="12">
        <f t="shared" ref="M18:M19" si="0">L18*1.21</f>
        <v>16087.5792</v>
      </c>
    </row>
    <row r="19" spans="11:13" x14ac:dyDescent="0.25">
      <c r="K19" s="25">
        <v>2028</v>
      </c>
      <c r="L19" s="12">
        <f>I10</f>
        <v>12187.560000000001</v>
      </c>
      <c r="M19" s="12">
        <f t="shared" si="0"/>
        <v>14746.947600000001</v>
      </c>
    </row>
    <row r="20" spans="11:13" x14ac:dyDescent="0.25">
      <c r="K20" s="25" t="s">
        <v>10</v>
      </c>
      <c r="L20" s="12">
        <f>SUM(L17:L19)</f>
        <v>38778.600000000006</v>
      </c>
      <c r="M20" s="12">
        <f>ROUND(L20*1.21,2)</f>
        <v>46922.11</v>
      </c>
    </row>
  </sheetData>
  <protectedRanges>
    <protectedRange algorithmName="SHA-512" hashValue="hoVQdKFeFKMgE0T48qQ2S6net6nQl8ycV+AxD4Vcg07ZGhg00RMUavBPqw1JLoazOOtXJSImzGY/ZKfa74X1kg==" saltValue="U1QMlaBrsUlj1RTnY4ehiQ==" spinCount="100000" sqref="B1" name="Rango1"/>
  </protectedRange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9527E-4F9F-43BF-A557-783D65966F95}">
  <dimension ref="A1:M21"/>
  <sheetViews>
    <sheetView workbookViewId="0">
      <selection activeCell="C15" sqref="C15"/>
    </sheetView>
  </sheetViews>
  <sheetFormatPr baseColWidth="10" defaultColWidth="11.42578125" defaultRowHeight="15" x14ac:dyDescent="0.25"/>
  <cols>
    <col min="1" max="1" width="26.140625" customWidth="1"/>
    <col min="3" max="3" width="15" bestFit="1" customWidth="1"/>
  </cols>
  <sheetData>
    <row r="1" spans="1:10" x14ac:dyDescent="0.25">
      <c r="A1" s="4" t="s">
        <v>0</v>
      </c>
      <c r="B1" s="14">
        <v>28.42</v>
      </c>
      <c r="C1" s="20" t="s">
        <v>25</v>
      </c>
      <c r="D1" s="21" t="s">
        <v>26</v>
      </c>
      <c r="E1" s="39"/>
      <c r="F1" s="39"/>
    </row>
    <row r="2" spans="1:10" x14ac:dyDescent="0.25">
      <c r="A2" s="4" t="s">
        <v>3</v>
      </c>
      <c r="B2" s="5">
        <f>12*B1</f>
        <v>341.04</v>
      </c>
    </row>
    <row r="3" spans="1:10" x14ac:dyDescent="0.25">
      <c r="A3" s="4" t="s">
        <v>4</v>
      </c>
      <c r="B3" s="6">
        <f>B2*1.21</f>
        <v>412.65840000000003</v>
      </c>
      <c r="C3" s="3"/>
    </row>
    <row r="4" spans="1:10" x14ac:dyDescent="0.25">
      <c r="A4" s="7" t="s">
        <v>5</v>
      </c>
      <c r="B4" s="8">
        <v>46023</v>
      </c>
      <c r="C4" s="35">
        <f>DATE(YEAR(B4)+3,MONTH(B4),DAY(B4))</f>
        <v>47119</v>
      </c>
    </row>
    <row r="5" spans="1:10" x14ac:dyDescent="0.25">
      <c r="C5" s="3"/>
    </row>
    <row r="6" spans="1:10" ht="45" x14ac:dyDescent="0.25">
      <c r="B6" s="9"/>
      <c r="C6" s="10" t="s">
        <v>6</v>
      </c>
      <c r="D6" s="13" t="s">
        <v>37</v>
      </c>
      <c r="E6" s="13" t="s">
        <v>30</v>
      </c>
      <c r="F6" s="13" t="s">
        <v>31</v>
      </c>
      <c r="G6" s="10" t="s">
        <v>7</v>
      </c>
      <c r="H6" s="13" t="s">
        <v>8</v>
      </c>
      <c r="I6" s="10" t="s">
        <v>9</v>
      </c>
    </row>
    <row r="7" spans="1:10" ht="15.75" thickBot="1" x14ac:dyDescent="0.3">
      <c r="B7" s="105">
        <v>2026</v>
      </c>
      <c r="C7" s="94">
        <v>6</v>
      </c>
      <c r="D7" s="95">
        <v>46049</v>
      </c>
      <c r="E7" s="62">
        <f>QUOTIENT(G7,12)</f>
        <v>2</v>
      </c>
      <c r="F7" s="62">
        <f>G7-(E7*12)</f>
        <v>11</v>
      </c>
      <c r="G7" s="54">
        <f>DATEDIF(D7,C4,"m")</f>
        <v>35</v>
      </c>
      <c r="H7" s="63">
        <f>C7*B1*12</f>
        <v>2046.2400000000002</v>
      </c>
      <c r="I7" s="97"/>
      <c r="J7" s="2"/>
    </row>
    <row r="8" spans="1:10" ht="15.75" thickBot="1" x14ac:dyDescent="0.3">
      <c r="B8" s="106"/>
      <c r="C8" s="53"/>
      <c r="D8" s="64"/>
      <c r="E8" s="54"/>
      <c r="F8" s="54"/>
      <c r="G8" s="54"/>
      <c r="H8" s="55"/>
      <c r="I8" s="55">
        <f>H7</f>
        <v>2046.2400000000002</v>
      </c>
      <c r="J8" s="2"/>
    </row>
    <row r="9" spans="1:10" ht="15.75" thickBot="1" x14ac:dyDescent="0.3">
      <c r="B9" s="17">
        <v>2027</v>
      </c>
      <c r="C9" s="59"/>
      <c r="D9" s="65"/>
      <c r="E9" s="60"/>
      <c r="F9" s="60"/>
      <c r="G9" s="60"/>
      <c r="H9" s="61"/>
      <c r="I9" s="61">
        <f>I8</f>
        <v>2046.2400000000002</v>
      </c>
      <c r="J9" s="2"/>
    </row>
    <row r="10" spans="1:10" ht="15.75" thickBot="1" x14ac:dyDescent="0.3">
      <c r="B10" s="58">
        <v>2028</v>
      </c>
      <c r="C10" s="59"/>
      <c r="D10" s="65"/>
      <c r="E10" s="60"/>
      <c r="F10" s="60"/>
      <c r="G10" s="60"/>
      <c r="H10" s="61"/>
      <c r="I10" s="61">
        <f>C7*B1*F7</f>
        <v>1875.72</v>
      </c>
    </row>
    <row r="11" spans="1:10" x14ac:dyDescent="0.25">
      <c r="B11" s="91" t="s">
        <v>10</v>
      </c>
      <c r="C11">
        <v>6</v>
      </c>
      <c r="I11" s="2">
        <f>SUM(I8:I10)</f>
        <v>5968.2000000000007</v>
      </c>
      <c r="J11" s="22"/>
    </row>
    <row r="12" spans="1:10" x14ac:dyDescent="0.25">
      <c r="J12" s="2"/>
    </row>
    <row r="14" spans="1:10" x14ac:dyDescent="0.25">
      <c r="J14" s="22"/>
    </row>
    <row r="17" spans="11:13" ht="30" x14ac:dyDescent="0.25">
      <c r="K17" s="11"/>
      <c r="L17" s="13" t="s">
        <v>11</v>
      </c>
      <c r="M17" s="13" t="s">
        <v>12</v>
      </c>
    </row>
    <row r="18" spans="11:13" x14ac:dyDescent="0.25">
      <c r="K18" s="25">
        <v>2026</v>
      </c>
      <c r="L18" s="12">
        <f>I8</f>
        <v>2046.2400000000002</v>
      </c>
      <c r="M18" s="12">
        <f t="shared" ref="M18:M21" si="0">ROUND(L18*1.21,2)</f>
        <v>2475.9499999999998</v>
      </c>
    </row>
    <row r="19" spans="11:13" x14ac:dyDescent="0.25">
      <c r="K19" s="25">
        <v>2027</v>
      </c>
      <c r="L19" s="12">
        <f>I9</f>
        <v>2046.2400000000002</v>
      </c>
      <c r="M19" s="12">
        <f t="shared" si="0"/>
        <v>2475.9499999999998</v>
      </c>
    </row>
    <row r="20" spans="11:13" x14ac:dyDescent="0.25">
      <c r="K20" s="25">
        <v>2028</v>
      </c>
      <c r="L20" s="12">
        <f>I10</f>
        <v>1875.72</v>
      </c>
      <c r="M20" s="12">
        <f t="shared" si="0"/>
        <v>2269.62</v>
      </c>
    </row>
    <row r="21" spans="11:13" x14ac:dyDescent="0.25">
      <c r="K21" s="25" t="s">
        <v>10</v>
      </c>
      <c r="L21" s="12">
        <f>SUM(L18:L20)</f>
        <v>5968.2000000000007</v>
      </c>
      <c r="M21" s="12">
        <f t="shared" si="0"/>
        <v>7221.52</v>
      </c>
    </row>
  </sheetData>
  <protectedRanges>
    <protectedRange algorithmName="SHA-512" hashValue="hoVQdKFeFKMgE0T48qQ2S6net6nQl8ycV+AxD4Vcg07ZGhg00RMUavBPqw1JLoazOOtXJSImzGY/ZKfa74X1kg==" saltValue="U1QMlaBrsUlj1RTnY4ehiQ==" spinCount="100000" sqref="B1" name="Rango1"/>
  </protectedRanges>
  <mergeCells count="1">
    <mergeCell ref="B7:B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A195-AE60-4DD5-8051-1ED6EC805846}">
  <dimension ref="A1:M21"/>
  <sheetViews>
    <sheetView workbookViewId="0">
      <selection activeCell="G16" sqref="G16"/>
    </sheetView>
  </sheetViews>
  <sheetFormatPr baseColWidth="10" defaultRowHeight="15" x14ac:dyDescent="0.25"/>
  <cols>
    <col min="1" max="1" width="26.7109375" bestFit="1" customWidth="1"/>
    <col min="2" max="2" width="10.7109375" bestFit="1" customWidth="1"/>
    <col min="3" max="3" width="15" bestFit="1" customWidth="1"/>
    <col min="4" max="4" width="10.5703125" customWidth="1"/>
    <col min="9" max="9" width="20.28515625" bestFit="1" customWidth="1"/>
    <col min="10" max="10" width="12" bestFit="1" customWidth="1"/>
    <col min="12" max="14" width="12" bestFit="1" customWidth="1"/>
  </cols>
  <sheetData>
    <row r="1" spans="1:10" x14ac:dyDescent="0.25">
      <c r="A1" s="4" t="s">
        <v>0</v>
      </c>
      <c r="B1" s="14">
        <v>105.83</v>
      </c>
      <c r="C1" s="20" t="s">
        <v>34</v>
      </c>
      <c r="D1" s="21" t="s">
        <v>35</v>
      </c>
      <c r="E1" s="39"/>
      <c r="F1" s="39"/>
    </row>
    <row r="2" spans="1:10" x14ac:dyDescent="0.25">
      <c r="A2" s="4" t="s">
        <v>3</v>
      </c>
      <c r="B2" s="5">
        <f>B1*12</f>
        <v>1269.96</v>
      </c>
    </row>
    <row r="3" spans="1:10" x14ac:dyDescent="0.25">
      <c r="A3" s="4" t="s">
        <v>4</v>
      </c>
      <c r="B3" s="6">
        <f>B2*1.21</f>
        <v>1536.6515999999999</v>
      </c>
      <c r="C3" s="3"/>
    </row>
    <row r="4" spans="1:10" x14ac:dyDescent="0.25">
      <c r="A4" s="7" t="s">
        <v>5</v>
      </c>
      <c r="B4" s="8">
        <v>46023</v>
      </c>
      <c r="C4" s="35">
        <f>DATE(YEAR(B4)+3,MONTH(B4),DAY(B4))</f>
        <v>47119</v>
      </c>
    </row>
    <row r="5" spans="1:10" x14ac:dyDescent="0.25">
      <c r="C5" s="3"/>
    </row>
    <row r="6" spans="1:10" ht="60.75" thickBot="1" x14ac:dyDescent="0.3">
      <c r="B6" s="9"/>
      <c r="C6" s="10" t="s">
        <v>6</v>
      </c>
      <c r="D6" s="13" t="s">
        <v>37</v>
      </c>
      <c r="E6" s="13" t="s">
        <v>30</v>
      </c>
      <c r="F6" s="13" t="s">
        <v>31</v>
      </c>
      <c r="G6" s="10" t="s">
        <v>7</v>
      </c>
      <c r="H6" s="13" t="s">
        <v>8</v>
      </c>
      <c r="I6" s="10" t="s">
        <v>9</v>
      </c>
    </row>
    <row r="7" spans="1:10" x14ac:dyDescent="0.25">
      <c r="B7" s="109">
        <v>2026</v>
      </c>
      <c r="C7" s="37">
        <v>4</v>
      </c>
      <c r="D7" s="36">
        <v>46049</v>
      </c>
      <c r="E7" s="62">
        <f>QUOTIENT(G7,12)</f>
        <v>2</v>
      </c>
      <c r="F7" s="62">
        <f>G7-(E7*12)</f>
        <v>11</v>
      </c>
      <c r="G7" s="62">
        <f>DATEDIF(D7,C4,"m")</f>
        <v>35</v>
      </c>
      <c r="H7" s="63">
        <f>C7*B1*12</f>
        <v>5079.84</v>
      </c>
      <c r="I7" s="12"/>
      <c r="J7" s="2"/>
    </row>
    <row r="8" spans="1:10" x14ac:dyDescent="0.25">
      <c r="B8" s="107"/>
      <c r="C8" s="92">
        <v>3</v>
      </c>
      <c r="D8" s="93">
        <v>46319</v>
      </c>
      <c r="E8" s="50">
        <f>QUOTIENT(G8,12)</f>
        <v>2</v>
      </c>
      <c r="F8" s="50">
        <f>G8-(E8*12)</f>
        <v>2</v>
      </c>
      <c r="G8" s="50">
        <f>DATEDIF(D8,C4,"m")</f>
        <v>26</v>
      </c>
      <c r="H8" s="51">
        <f>$C8*12*$B$1</f>
        <v>3809.88</v>
      </c>
      <c r="I8" s="12"/>
      <c r="J8" s="2"/>
    </row>
    <row r="9" spans="1:10" ht="15.75" thickBot="1" x14ac:dyDescent="0.3">
      <c r="B9" s="108"/>
      <c r="C9" s="98"/>
      <c r="D9" s="99"/>
      <c r="E9" s="89"/>
      <c r="F9" s="89"/>
      <c r="G9" s="89"/>
      <c r="H9" s="88"/>
      <c r="I9" s="88">
        <f>SUM(H7:H8)</f>
        <v>8889.7200000000012</v>
      </c>
      <c r="J9" s="22"/>
    </row>
    <row r="10" spans="1:10" ht="15.75" thickBot="1" x14ac:dyDescent="0.3">
      <c r="B10" s="57">
        <v>2027</v>
      </c>
      <c r="C10" s="102"/>
      <c r="D10" s="103"/>
      <c r="E10" s="60"/>
      <c r="F10" s="60"/>
      <c r="G10" s="60"/>
      <c r="H10" s="61"/>
      <c r="I10" s="61">
        <f>I9</f>
        <v>8889.7200000000012</v>
      </c>
      <c r="J10" s="22"/>
    </row>
    <row r="11" spans="1:10" ht="15.75" thickBot="1" x14ac:dyDescent="0.3">
      <c r="B11" s="57">
        <v>2028</v>
      </c>
      <c r="C11" s="87"/>
      <c r="D11" s="89"/>
      <c r="E11" s="89"/>
      <c r="F11" s="89"/>
      <c r="G11" s="89"/>
      <c r="H11" s="100"/>
      <c r="I11" s="101">
        <f>C7*B1*F7+C8*B1*F8</f>
        <v>5291.5</v>
      </c>
    </row>
    <row r="12" spans="1:10" x14ac:dyDescent="0.25">
      <c r="B12" s="67" t="s">
        <v>10</v>
      </c>
      <c r="C12" s="68">
        <v>7</v>
      </c>
      <c r="D12" s="69"/>
      <c r="E12" s="69"/>
      <c r="F12" s="69"/>
      <c r="G12" s="1"/>
      <c r="H12" s="2"/>
      <c r="I12" s="38">
        <f>SUM(I7:I11)</f>
        <v>23070.940000000002</v>
      </c>
      <c r="J12" s="2"/>
    </row>
    <row r="13" spans="1:10" x14ac:dyDescent="0.25">
      <c r="D13" s="1"/>
      <c r="E13" s="1"/>
      <c r="F13" s="1"/>
      <c r="G13" s="1"/>
      <c r="I13" s="2"/>
      <c r="J13" s="22"/>
    </row>
    <row r="17" spans="11:13" ht="30" x14ac:dyDescent="0.25">
      <c r="K17" s="11"/>
      <c r="L17" s="13" t="s">
        <v>11</v>
      </c>
      <c r="M17" s="13" t="s">
        <v>12</v>
      </c>
    </row>
    <row r="18" spans="11:13" x14ac:dyDescent="0.25">
      <c r="K18" s="25">
        <v>2026</v>
      </c>
      <c r="L18" s="12">
        <f>I9</f>
        <v>8889.7200000000012</v>
      </c>
      <c r="M18" s="12">
        <f t="shared" ref="M18:M21" si="0">ROUND(L18*1.21,2)</f>
        <v>10756.56</v>
      </c>
    </row>
    <row r="19" spans="11:13" x14ac:dyDescent="0.25">
      <c r="K19" s="25">
        <v>2027</v>
      </c>
      <c r="L19" s="12">
        <f>I10</f>
        <v>8889.7200000000012</v>
      </c>
      <c r="M19" s="12">
        <f t="shared" si="0"/>
        <v>10756.56</v>
      </c>
    </row>
    <row r="20" spans="11:13" x14ac:dyDescent="0.25">
      <c r="K20" s="25">
        <v>2028</v>
      </c>
      <c r="L20" s="12">
        <f>I11</f>
        <v>5291.5</v>
      </c>
      <c r="M20" s="12">
        <f t="shared" si="0"/>
        <v>6402.72</v>
      </c>
    </row>
    <row r="21" spans="11:13" x14ac:dyDescent="0.25">
      <c r="K21" s="10" t="s">
        <v>10</v>
      </c>
      <c r="L21" s="12">
        <f>SUM(L18:L20)</f>
        <v>23070.940000000002</v>
      </c>
      <c r="M21" s="12">
        <f t="shared" si="0"/>
        <v>27915.84</v>
      </c>
    </row>
  </sheetData>
  <protectedRanges>
    <protectedRange algorithmName="SHA-512" hashValue="hoVQdKFeFKMgE0T48qQ2S6net6nQl8ycV+AxD4Vcg07ZGhg00RMUavBPqw1JLoazOOtXJSImzGY/ZKfa74X1kg==" saltValue="U1QMlaBrsUlj1RTnY4ehiQ==" spinCount="100000" sqref="B1" name="Rango1"/>
  </protectedRanges>
  <mergeCells count="1">
    <mergeCell ref="B7:B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08ED97F59D94EB9A4670EE7D77629" ma:contentTypeVersion="14" ma:contentTypeDescription="Crear nuevo documento." ma:contentTypeScope="" ma:versionID="7cdd79eaa039b43f30b0c567ea89aad4">
  <xsd:schema xmlns:xsd="http://www.w3.org/2001/XMLSchema" xmlns:xs="http://www.w3.org/2001/XMLSchema" xmlns:p="http://schemas.microsoft.com/office/2006/metadata/properties" xmlns:ns2="92852abd-2089-4bf8-b79d-0be2dfc545f1" xmlns:ns3="23f30b8f-ca88-4dbc-8590-ed1f2eaf05b9" targetNamespace="http://schemas.microsoft.com/office/2006/metadata/properties" ma:root="true" ma:fieldsID="97bbd4cc2d8fcec9b752d8dcb2c2064c" ns2:_="" ns3:_="">
    <xsd:import namespace="92852abd-2089-4bf8-b79d-0be2dfc545f1"/>
    <xsd:import namespace="23f30b8f-ca88-4dbc-8590-ed1f2eaf05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52abd-2089-4bf8-b79d-0be2dfc54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681f248e-c3d7-47dd-9561-97a85f8835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30b8f-ca88-4dbc-8590-ed1f2eaf05b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301d4eb-77a7-494a-a6ea-19998d4eeaaf}" ma:internalName="TaxCatchAll" ma:showField="CatchAllData" ma:web="23f30b8f-ca88-4dbc-8590-ed1f2eaf05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852abd-2089-4bf8-b79d-0be2dfc545f1">
      <Terms xmlns="http://schemas.microsoft.com/office/infopath/2007/PartnerControls"/>
    </lcf76f155ced4ddcb4097134ff3c332f>
    <TaxCatchAll xmlns="23f30b8f-ca88-4dbc-8590-ed1f2eaf05b9" xsi:nil="true"/>
  </documentManagement>
</p:properties>
</file>

<file path=customXml/itemProps1.xml><?xml version="1.0" encoding="utf-8"?>
<ds:datastoreItem xmlns:ds="http://schemas.openxmlformats.org/officeDocument/2006/customXml" ds:itemID="{3668B5B4-8B8E-4786-AA72-967426B519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52abd-2089-4bf8-b79d-0be2dfc545f1"/>
    <ds:schemaRef ds:uri="23f30b8f-ca88-4dbc-8590-ed1f2eaf05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F6CD99-2596-4847-AEDA-7FDECD972A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7EB861-04D8-4CE2-A42C-FB72A9B95EA3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23f30b8f-ca88-4dbc-8590-ed1f2eaf05b9"/>
    <ds:schemaRef ds:uri="92852abd-2089-4bf8-b79d-0be2dfc545f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L2-RH00004</vt:lpstr>
      <vt:lpstr>L2-RH00002</vt:lpstr>
      <vt:lpstr>L2-RH00001</vt:lpstr>
      <vt:lpstr>L2-RH00007</vt:lpstr>
      <vt:lpstr>L2-RH00152</vt:lpstr>
      <vt:lpstr>L2-RH00153</vt:lpstr>
      <vt:lpstr>L2-RH00767</vt:lpstr>
      <vt:lpstr>L2-RH00005</vt:lpstr>
      <vt:lpstr>L2-RH00003</vt:lpstr>
      <vt:lpstr>L2-RH00025</vt:lpstr>
      <vt:lpstr>L2-RH00006</vt:lpstr>
      <vt:lpstr>Global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Ayala Milla</dc:creator>
  <cp:keywords/>
  <dc:description/>
  <cp:lastModifiedBy>ANTONIO RODRIGUEZ SANCHEZ</cp:lastModifiedBy>
  <cp:revision/>
  <dcterms:created xsi:type="dcterms:W3CDTF">2015-06-05T18:19:34Z</dcterms:created>
  <dcterms:modified xsi:type="dcterms:W3CDTF">2025-11-06T09:43:37Z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0x010100ADA08ED97F59D94EB9A4670EE7D77629</vt:lpwstr>
  </property>
  <property fmtid="{D5CDD505-2E9C-101B-9397-08002B2CF9AE}" pid="3" name="MediaServiceImageTags">
    <vt:lpwstr/>
  </property>
</Properties>
</file>